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Andreas Antoniou\Desktop\"/>
    </mc:Choice>
  </mc:AlternateContent>
  <xr:revisionPtr revIDLastSave="0" documentId="13_ncr:1_{7A53A3B2-B6EA-4CC2-9806-5B30930163A9}" xr6:coauthVersionLast="47" xr6:coauthVersionMax="47" xr10:uidLastSave="{00000000-0000-0000-0000-000000000000}"/>
  <bookViews>
    <workbookView xWindow="-120" yWindow="-120" windowWidth="29040" windowHeight="15720" tabRatio="866" firstSheet="3" activeTab="8" xr2:uid="{00000000-000D-0000-FFFF-FFFF00000000}"/>
  </bookViews>
  <sheets>
    <sheet name=" DELTIO 1 PROKATARTIKA" sheetId="85" r:id="rId1"/>
    <sheet name="DELTIO 2 BLOCK TWO BEDROOM  " sheetId="121" r:id="rId2"/>
    <sheet name="DELTIO 3 BLOCK TWO BEDROOM  " sheetId="120" r:id="rId3"/>
    <sheet name="DELTIO 4 BLOCK TWO BEDROOM  " sheetId="117" r:id="rId4"/>
    <sheet name="DELTIO 5 BLOCK THREE BEDROOM" sheetId="119" r:id="rId5"/>
    <sheet name="DELTIO 6 BLOCK THREE BEDROOM" sheetId="118" r:id="rId6"/>
    <sheet name="DELTIO 7 BLOCK THREE BEDROOM" sheetId="114" r:id="rId7"/>
    <sheet name="DELTIO 8 ΕΡΓΑΣΙΕΣ ΜΕ ΑΠΟΛΟΓΙΣΜΟ" sheetId="78" r:id="rId8"/>
    <sheet name="DELTIO 9 ΓΕΝΙΚΗ ΠΕΡΙΛΗΨΗ" sheetId="73" r:id="rId9"/>
    <sheet name="BoQ - 3 form work" sheetId="69" state="hidden" r:id="rId10"/>
  </sheets>
  <externalReferences>
    <externalReference r:id="rId11"/>
    <externalReference r:id="rId12"/>
  </externalReferences>
  <definedNames>
    <definedName name="_Hlk489347734" localSheetId="0">' DELTIO 1 PROKATARTIKA'!#REF!</definedName>
    <definedName name="_Hlk489347734" localSheetId="9">'BoQ - 3 form work'!#REF!</definedName>
    <definedName name="_Hlk489347734" localSheetId="1">'DELTIO 2 BLOCK TWO BEDROOM  '!#REF!</definedName>
    <definedName name="_Hlk489347734" localSheetId="2">'DELTIO 3 BLOCK TWO BEDROOM  '!#REF!</definedName>
    <definedName name="_Hlk489347734" localSheetId="3">'DELTIO 4 BLOCK TWO BEDROOM  '!#REF!</definedName>
    <definedName name="_Hlk489347734" localSheetId="4">'DELTIO 5 BLOCK THREE BEDROOM'!#REF!</definedName>
    <definedName name="_Hlk489347734" localSheetId="5">'DELTIO 6 BLOCK THREE BEDROOM'!#REF!</definedName>
    <definedName name="_Hlk489347734" localSheetId="6">'DELTIO 7 BLOCK THREE BEDROOM'!#REF!</definedName>
    <definedName name="billname" localSheetId="7">[1]Lists!$B$19:$B$34</definedName>
    <definedName name="billname">[1]Lists!$B$19:$B$34</definedName>
    <definedName name="Billnr" localSheetId="7">[2]Lists!$B$2:$B$16</definedName>
    <definedName name="Billnr">[2]Lists!$B$2:$B$16</definedName>
    <definedName name="Billsnr" localSheetId="7">[1]Lists!$B$2:$B$17</definedName>
    <definedName name="Billsnr">[1]Lists!$B$2:$B$17</definedName>
    <definedName name="_xlnm.Print_Area" localSheetId="0">' DELTIO 1 PROKATARTIKA'!$A$1:$E$903</definedName>
    <definedName name="_xlnm.Print_Area" localSheetId="9">'BoQ - 3 form work'!$A$1:$I$1639</definedName>
    <definedName name="_xlnm.Print_Area" localSheetId="1">'DELTIO 2 BLOCK TWO BEDROOM  '!$A$1:$G$697</definedName>
    <definedName name="_xlnm.Print_Area" localSheetId="2">'DELTIO 3 BLOCK TWO BEDROOM  '!$A$1:$G$697</definedName>
    <definedName name="_xlnm.Print_Area" localSheetId="3">'DELTIO 4 BLOCK TWO BEDROOM  '!$A$1:$G$697</definedName>
    <definedName name="_xlnm.Print_Area" localSheetId="7">'DELTIO 8 ΕΡΓΑΣΙΕΣ ΜΕ ΑΠΟΛΟΓΙΣΜΟ'!$A$2:$I$250</definedName>
    <definedName name="_xlnm.Print_Area" localSheetId="8">'DELTIO 9 ΓΕΝΙΚΗ ΠΕΡΙΛΗΨΗ'!$A$1:$J$46</definedName>
    <definedName name="specifications" localSheetId="7">[2]Lists!$B$34:$B$41</definedName>
    <definedName name="specifications">[2]Lists!$B$34:$B$41</definedName>
    <definedName name="specs" localSheetId="7">[1]Lists!$B$40:$B$55</definedName>
    <definedName name="specs">[1]Lists!$B$40:$B$55</definedName>
    <definedName name="σοφίτα" localSheetId="0">#REF!</definedName>
    <definedName name="σοφίτα" localSheetId="1">#REF!</definedName>
    <definedName name="σοφίτα" localSheetId="2">#REF!</definedName>
    <definedName name="σοφίτα" localSheetId="3">#REF!</definedName>
    <definedName name="σοφίτα" localSheetId="4">#REF!</definedName>
    <definedName name="σοφίτα" localSheetId="5">#REF!</definedName>
    <definedName name="σοφίτα" localSheetId="6">#REF!</definedName>
    <definedName name="σοφίτα">#REF!</definedName>
    <definedName name="υπόγειο" localSheetId="0">#REF!</definedName>
    <definedName name="υπόγειο" localSheetId="1">#REF!</definedName>
    <definedName name="υπόγειο" localSheetId="2">#REF!</definedName>
    <definedName name="υπόγειο" localSheetId="3">#REF!</definedName>
    <definedName name="υπόγειο" localSheetId="4">#REF!</definedName>
    <definedName name="υπόγειο" localSheetId="5">#REF!</definedName>
    <definedName name="υπόγειο" localSheetId="6">#REF!</definedName>
    <definedName name="υπόγει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8" i="119" l="1"/>
  <c r="G585" i="119"/>
  <c r="G585" i="121"/>
  <c r="G298" i="114" l="1"/>
  <c r="G297" i="114"/>
  <c r="G296" i="114"/>
  <c r="G295" i="114"/>
  <c r="G294" i="114"/>
  <c r="G293" i="114"/>
  <c r="G292" i="114"/>
  <c r="G291" i="114"/>
  <c r="G290" i="114"/>
  <c r="G289" i="114"/>
  <c r="G288" i="114"/>
  <c r="G347" i="114"/>
  <c r="G346" i="114"/>
  <c r="G345" i="114"/>
  <c r="G344" i="114"/>
  <c r="G343" i="114"/>
  <c r="G342" i="114"/>
  <c r="G341" i="114"/>
  <c r="G340" i="114"/>
  <c r="G339" i="114"/>
  <c r="G348" i="114"/>
  <c r="G345" i="118"/>
  <c r="G344" i="118"/>
  <c r="G343" i="118"/>
  <c r="G342" i="118"/>
  <c r="G341" i="118"/>
  <c r="G340" i="118"/>
  <c r="G339" i="118"/>
  <c r="G298" i="118"/>
  <c r="G297" i="118"/>
  <c r="G296" i="118"/>
  <c r="G295" i="118"/>
  <c r="G294" i="118"/>
  <c r="G293" i="118"/>
  <c r="G292" i="118"/>
  <c r="G291" i="118"/>
  <c r="G290" i="118"/>
  <c r="G289" i="118"/>
  <c r="G288" i="118"/>
  <c r="G346" i="119"/>
  <c r="G345" i="119"/>
  <c r="G344" i="119"/>
  <c r="G343" i="119"/>
  <c r="G342" i="119"/>
  <c r="G341" i="119"/>
  <c r="G340" i="119"/>
  <c r="G339" i="119"/>
  <c r="G292" i="119"/>
  <c r="G291" i="119"/>
  <c r="G290" i="119"/>
  <c r="G289" i="119"/>
  <c r="G288" i="119"/>
  <c r="G287" i="119"/>
  <c r="G286" i="119"/>
  <c r="G345" i="117"/>
  <c r="G344" i="117"/>
  <c r="G343" i="117"/>
  <c r="G342" i="117"/>
  <c r="G341" i="117"/>
  <c r="G340" i="117"/>
  <c r="G339" i="117"/>
  <c r="G290" i="117"/>
  <c r="G289" i="117"/>
  <c r="G288" i="117"/>
  <c r="G287" i="117"/>
  <c r="G286" i="117"/>
  <c r="G344" i="120"/>
  <c r="G338" i="120"/>
  <c r="G289" i="120"/>
  <c r="G288" i="120"/>
  <c r="G287" i="120"/>
  <c r="G286" i="120"/>
  <c r="G285" i="120"/>
  <c r="G337" i="121"/>
  <c r="G453" i="114"/>
  <c r="G452" i="114"/>
  <c r="G451" i="114"/>
  <c r="G450" i="114"/>
  <c r="G449" i="114"/>
  <c r="G448" i="114"/>
  <c r="G447" i="114"/>
  <c r="G453" i="118"/>
  <c r="G452" i="118"/>
  <c r="G451" i="118"/>
  <c r="G450" i="118"/>
  <c r="G449" i="118"/>
  <c r="G448" i="118"/>
  <c r="G447" i="118"/>
  <c r="G453" i="119"/>
  <c r="G452" i="119"/>
  <c r="G451" i="119"/>
  <c r="G450" i="119"/>
  <c r="G449" i="119"/>
  <c r="G448" i="119"/>
  <c r="G447" i="119"/>
  <c r="G451" i="117"/>
  <c r="G450" i="117"/>
  <c r="G449" i="117"/>
  <c r="G448" i="117"/>
  <c r="G447" i="117"/>
  <c r="G446" i="117"/>
  <c r="G445" i="117"/>
  <c r="G451" i="120"/>
  <c r="G450" i="120"/>
  <c r="G449" i="120"/>
  <c r="G448" i="120"/>
  <c r="G447" i="120"/>
  <c r="G446" i="120"/>
  <c r="G445" i="120"/>
  <c r="G173" i="121"/>
  <c r="G172" i="121"/>
  <c r="G174" i="120"/>
  <c r="G173" i="120"/>
  <c r="G174" i="117"/>
  <c r="G173" i="117"/>
  <c r="G431" i="114"/>
  <c r="G430" i="114"/>
  <c r="G429" i="114"/>
  <c r="G428" i="114"/>
  <c r="G427" i="114"/>
  <c r="G426" i="114"/>
  <c r="G425" i="114"/>
  <c r="G431" i="118"/>
  <c r="G430" i="118"/>
  <c r="G429" i="118"/>
  <c r="G428" i="118"/>
  <c r="G427" i="118"/>
  <c r="G426" i="118"/>
  <c r="G425" i="118"/>
  <c r="G429" i="117"/>
  <c r="G428" i="117"/>
  <c r="G427" i="117"/>
  <c r="G426" i="117"/>
  <c r="G425" i="117"/>
  <c r="G424" i="117"/>
  <c r="G423" i="117"/>
  <c r="G429" i="120"/>
  <c r="G428" i="120"/>
  <c r="G427" i="120"/>
  <c r="G426" i="120"/>
  <c r="G425" i="120"/>
  <c r="G424" i="120"/>
  <c r="G423" i="120"/>
  <c r="G429" i="121"/>
  <c r="G428" i="121"/>
  <c r="G427" i="121"/>
  <c r="G426" i="121"/>
  <c r="G425" i="121"/>
  <c r="G424" i="121"/>
  <c r="G423" i="121"/>
  <c r="G141" i="114"/>
  <c r="G139" i="114"/>
  <c r="G123" i="114"/>
  <c r="G122" i="114"/>
  <c r="G120" i="114"/>
  <c r="G119" i="114"/>
  <c r="G141" i="118"/>
  <c r="G139" i="118"/>
  <c r="G123" i="118"/>
  <c r="G122" i="118"/>
  <c r="G120" i="118"/>
  <c r="G119" i="118"/>
  <c r="G141" i="119"/>
  <c r="G139" i="119"/>
  <c r="G123" i="119"/>
  <c r="G122" i="119"/>
  <c r="G120" i="119"/>
  <c r="G119" i="119"/>
  <c r="G141" i="117"/>
  <c r="G139" i="117"/>
  <c r="G123" i="117"/>
  <c r="G122" i="117"/>
  <c r="G121" i="117"/>
  <c r="G120" i="117"/>
  <c r="G119" i="117"/>
  <c r="G141" i="120"/>
  <c r="G140" i="120"/>
  <c r="G139" i="120"/>
  <c r="G123" i="120"/>
  <c r="G122" i="120"/>
  <c r="G121" i="120"/>
  <c r="G120" i="120"/>
  <c r="G119" i="120"/>
  <c r="G655" i="121"/>
  <c r="G654" i="121"/>
  <c r="G649" i="121"/>
  <c r="G648" i="121"/>
  <c r="G647" i="121"/>
  <c r="G646" i="121"/>
  <c r="G645" i="121"/>
  <c r="G644" i="121"/>
  <c r="G643" i="121"/>
  <c r="G642" i="121"/>
  <c r="G641" i="121"/>
  <c r="G640" i="121"/>
  <c r="G639" i="121"/>
  <c r="G638" i="121"/>
  <c r="G637" i="121"/>
  <c r="G636" i="121"/>
  <c r="G635" i="121"/>
  <c r="G634" i="121"/>
  <c r="G633" i="121"/>
  <c r="G632" i="121"/>
  <c r="G631" i="121"/>
  <c r="G630" i="121"/>
  <c r="G629" i="121"/>
  <c r="G628" i="121"/>
  <c r="G627" i="121"/>
  <c r="G626" i="121"/>
  <c r="G625" i="121"/>
  <c r="G624" i="121"/>
  <c r="G623" i="121"/>
  <c r="G622" i="121"/>
  <c r="G621" i="121"/>
  <c r="G617" i="121"/>
  <c r="G616" i="121"/>
  <c r="G615" i="121"/>
  <c r="G614" i="121"/>
  <c r="G613" i="121"/>
  <c r="G612" i="121"/>
  <c r="G611" i="121"/>
  <c r="G610" i="121"/>
  <c r="G609" i="121"/>
  <c r="G608" i="121"/>
  <c r="G607" i="121"/>
  <c r="G606" i="121"/>
  <c r="G605" i="121"/>
  <c r="G604" i="121"/>
  <c r="G603" i="121"/>
  <c r="G602" i="121"/>
  <c r="G600" i="121"/>
  <c r="G599" i="121"/>
  <c r="G598" i="121"/>
  <c r="G597" i="121"/>
  <c r="G596" i="121"/>
  <c r="G595" i="121"/>
  <c r="G594" i="121"/>
  <c r="G593" i="121"/>
  <c r="G592" i="121"/>
  <c r="G591" i="121"/>
  <c r="G590" i="121"/>
  <c r="G589" i="121"/>
  <c r="G588" i="121"/>
  <c r="G587" i="121"/>
  <c r="G586" i="121"/>
  <c r="G584" i="121"/>
  <c r="G583" i="121"/>
  <c r="G582" i="121"/>
  <c r="G581" i="121"/>
  <c r="G580" i="121"/>
  <c r="G579" i="121"/>
  <c r="G578" i="121"/>
  <c r="G577" i="121"/>
  <c r="G576" i="121"/>
  <c r="G575" i="121"/>
  <c r="G571" i="121"/>
  <c r="G570" i="121"/>
  <c r="G566" i="121"/>
  <c r="G565" i="121"/>
  <c r="G564" i="121"/>
  <c r="G563" i="121"/>
  <c r="G562" i="121"/>
  <c r="G561" i="121"/>
  <c r="G560" i="121"/>
  <c r="G559" i="121"/>
  <c r="G557" i="121"/>
  <c r="G556" i="121"/>
  <c r="G555" i="121"/>
  <c r="G554" i="121"/>
  <c r="G553" i="121"/>
  <c r="G552" i="121"/>
  <c r="G551" i="121"/>
  <c r="G550" i="121"/>
  <c r="G549" i="121"/>
  <c r="G548" i="121"/>
  <c r="G547" i="121"/>
  <c r="G546" i="121"/>
  <c r="G545" i="121"/>
  <c r="G544" i="121"/>
  <c r="G543" i="121"/>
  <c r="G542" i="121"/>
  <c r="G541" i="121"/>
  <c r="G540" i="121"/>
  <c r="G539" i="121"/>
  <c r="G538" i="121"/>
  <c r="G537" i="121"/>
  <c r="G536" i="121"/>
  <c r="G535" i="121"/>
  <c r="G534" i="121"/>
  <c r="G533" i="121"/>
  <c r="G529" i="121"/>
  <c r="G527" i="121"/>
  <c r="G526" i="121"/>
  <c r="G525" i="121"/>
  <c r="G524" i="121"/>
  <c r="G523" i="121"/>
  <c r="G522" i="121"/>
  <c r="G521" i="121"/>
  <c r="G520" i="121"/>
  <c r="G519" i="121"/>
  <c r="G518" i="121"/>
  <c r="G517" i="121"/>
  <c r="G516" i="121"/>
  <c r="G515" i="121"/>
  <c r="G514" i="121"/>
  <c r="G513" i="121"/>
  <c r="G512" i="121"/>
  <c r="G511" i="121"/>
  <c r="G510" i="121"/>
  <c r="G509" i="121"/>
  <c r="G508" i="121"/>
  <c r="G507" i="121"/>
  <c r="G506" i="121"/>
  <c r="G505" i="121"/>
  <c r="G501" i="121"/>
  <c r="G500" i="121"/>
  <c r="G499" i="121"/>
  <c r="G498" i="121"/>
  <c r="G497" i="121"/>
  <c r="G496" i="121"/>
  <c r="G495" i="121"/>
  <c r="G493" i="121"/>
  <c r="G492" i="121"/>
  <c r="G491" i="121"/>
  <c r="G490" i="121"/>
  <c r="G489" i="121"/>
  <c r="G488" i="121"/>
  <c r="G487" i="121"/>
  <c r="G486" i="121"/>
  <c r="G485" i="121"/>
  <c r="G484" i="121"/>
  <c r="G483" i="121"/>
  <c r="G482" i="121"/>
  <c r="G481" i="121"/>
  <c r="G480" i="121"/>
  <c r="G479" i="121"/>
  <c r="G478" i="121"/>
  <c r="G477" i="121"/>
  <c r="G476" i="121"/>
  <c r="G475" i="121"/>
  <c r="G474" i="121"/>
  <c r="G473" i="121"/>
  <c r="G472" i="121"/>
  <c r="G471" i="121"/>
  <c r="G470" i="121"/>
  <c r="G469" i="121"/>
  <c r="G468" i="121"/>
  <c r="G467" i="121"/>
  <c r="G466" i="121"/>
  <c r="G465" i="121"/>
  <c r="G460" i="121"/>
  <c r="G457" i="121"/>
  <c r="G456" i="121"/>
  <c r="G455" i="121"/>
  <c r="G454" i="121"/>
  <c r="G453" i="121"/>
  <c r="G452" i="121"/>
  <c r="G451" i="121"/>
  <c r="G450" i="121"/>
  <c r="G449" i="121"/>
  <c r="G448" i="121"/>
  <c r="G447" i="121"/>
  <c r="G446" i="121"/>
  <c r="G445" i="121"/>
  <c r="G444" i="121"/>
  <c r="G443" i="121"/>
  <c r="G442" i="121"/>
  <c r="G438" i="121"/>
  <c r="G437" i="121"/>
  <c r="G431" i="121"/>
  <c r="G430" i="121"/>
  <c r="G422" i="121"/>
  <c r="G421" i="121"/>
  <c r="G420" i="121"/>
  <c r="G419" i="121"/>
  <c r="G418" i="121"/>
  <c r="G417" i="121"/>
  <c r="G416" i="121"/>
  <c r="G415" i="121"/>
  <c r="G414" i="121"/>
  <c r="G413" i="121"/>
  <c r="G412" i="121"/>
  <c r="G407" i="121"/>
  <c r="G406" i="121"/>
  <c r="G405" i="121"/>
  <c r="G404" i="121"/>
  <c r="G403" i="121"/>
  <c r="G402" i="121"/>
  <c r="G401" i="121"/>
  <c r="G400" i="121"/>
  <c r="G399" i="121"/>
  <c r="G398" i="121"/>
  <c r="G397" i="121"/>
  <c r="G396" i="121"/>
  <c r="G395" i="121"/>
  <c r="G394" i="121"/>
  <c r="G393" i="121"/>
  <c r="G392" i="121"/>
  <c r="G391" i="121"/>
  <c r="G390" i="121"/>
  <c r="G389" i="121"/>
  <c r="G388" i="121"/>
  <c r="G387" i="121"/>
  <c r="G386" i="121"/>
  <c r="G385" i="121"/>
  <c r="G384" i="121"/>
  <c r="G383" i="121"/>
  <c r="G382" i="121"/>
  <c r="G381" i="121"/>
  <c r="G377" i="121"/>
  <c r="G376" i="121"/>
  <c r="G375" i="121"/>
  <c r="G374" i="121"/>
  <c r="G373" i="121"/>
  <c r="G372" i="121"/>
  <c r="G370" i="121"/>
  <c r="G368" i="121"/>
  <c r="G367" i="121"/>
  <c r="G366" i="121"/>
  <c r="G365" i="121"/>
  <c r="G364" i="121"/>
  <c r="G363" i="121"/>
  <c r="G362" i="121"/>
  <c r="G361" i="121"/>
  <c r="G360" i="121"/>
  <c r="G359" i="121"/>
  <c r="G358" i="121"/>
  <c r="G357" i="121"/>
  <c r="G356" i="121"/>
  <c r="G355" i="121"/>
  <c r="G354" i="121"/>
  <c r="G353" i="121"/>
  <c r="G352" i="121"/>
  <c r="G351" i="121"/>
  <c r="G350" i="121"/>
  <c r="G349" i="121"/>
  <c r="G347" i="121"/>
  <c r="G345" i="121"/>
  <c r="G344" i="121"/>
  <c r="G343" i="121"/>
  <c r="G342" i="121"/>
  <c r="G341" i="121"/>
  <c r="G340" i="121"/>
  <c r="G339" i="121"/>
  <c r="G338" i="121"/>
  <c r="G336" i="121"/>
  <c r="G335" i="121"/>
  <c r="G334" i="121"/>
  <c r="G333" i="121"/>
  <c r="G329" i="121"/>
  <c r="G328" i="121"/>
  <c r="G327" i="121"/>
  <c r="G326" i="121"/>
  <c r="G324" i="121"/>
  <c r="G322" i="121"/>
  <c r="G321" i="121"/>
  <c r="G320" i="121"/>
  <c r="G319" i="121"/>
  <c r="G318" i="121"/>
  <c r="G317" i="121"/>
  <c r="G316" i="121"/>
  <c r="G315" i="121"/>
  <c r="G314" i="121"/>
  <c r="G313" i="121"/>
  <c r="G312" i="121"/>
  <c r="G311" i="121"/>
  <c r="G310" i="121"/>
  <c r="G309" i="121"/>
  <c r="G308" i="121"/>
  <c r="G307" i="121"/>
  <c r="G306" i="121"/>
  <c r="G305" i="121"/>
  <c r="G304" i="121"/>
  <c r="G303" i="121"/>
  <c r="G302" i="121"/>
  <c r="G301" i="121"/>
  <c r="G300" i="121"/>
  <c r="G299" i="121"/>
  <c r="G298" i="121"/>
  <c r="G297" i="121"/>
  <c r="G296" i="121"/>
  <c r="G295" i="121"/>
  <c r="G294" i="121"/>
  <c r="G293" i="121"/>
  <c r="G292" i="121"/>
  <c r="G291" i="121"/>
  <c r="G290" i="121"/>
  <c r="G289" i="121"/>
  <c r="G288" i="121"/>
  <c r="G287" i="121"/>
  <c r="G286" i="121"/>
  <c r="G285" i="121"/>
  <c r="G284" i="121"/>
  <c r="G283" i="121"/>
  <c r="G282" i="121"/>
  <c r="G278" i="121"/>
  <c r="G277" i="121"/>
  <c r="G276" i="121"/>
  <c r="G275" i="121"/>
  <c r="G273" i="121"/>
  <c r="G272" i="121"/>
  <c r="G271" i="121"/>
  <c r="G270" i="121"/>
  <c r="G269" i="121"/>
  <c r="G268" i="121"/>
  <c r="G267" i="121"/>
  <c r="G266" i="121"/>
  <c r="G265" i="121"/>
  <c r="G264" i="121"/>
  <c r="G263" i="121"/>
  <c r="G262" i="121"/>
  <c r="G261" i="121"/>
  <c r="G260" i="121"/>
  <c r="G259" i="121"/>
  <c r="G258" i="121"/>
  <c r="G257" i="121"/>
  <c r="G256" i="121"/>
  <c r="G255" i="121"/>
  <c r="G254" i="121"/>
  <c r="G253" i="121"/>
  <c r="G252" i="121"/>
  <c r="G251" i="121"/>
  <c r="G250" i="121"/>
  <c r="G249" i="121"/>
  <c r="G248" i="121"/>
  <c r="G247" i="121"/>
  <c r="G246" i="121"/>
  <c r="G245" i="121"/>
  <c r="G240" i="121"/>
  <c r="G239" i="121"/>
  <c r="G238" i="121"/>
  <c r="G237" i="121"/>
  <c r="G236" i="121"/>
  <c r="G235" i="121"/>
  <c r="G234" i="121"/>
  <c r="G233" i="121"/>
  <c r="G232" i="121"/>
  <c r="G231" i="121"/>
  <c r="G230" i="121"/>
  <c r="G229" i="121"/>
  <c r="G228" i="121"/>
  <c r="G227" i="121"/>
  <c r="G226" i="121"/>
  <c r="G225" i="121"/>
  <c r="G224" i="121"/>
  <c r="G223" i="121"/>
  <c r="G222" i="121"/>
  <c r="G221" i="121"/>
  <c r="G220" i="121"/>
  <c r="G219" i="121"/>
  <c r="G218" i="121"/>
  <c r="G217" i="121"/>
  <c r="G216" i="121"/>
  <c r="G215" i="121"/>
  <c r="G214" i="121"/>
  <c r="G213" i="121"/>
  <c r="G212" i="121"/>
  <c r="G211" i="121"/>
  <c r="G210" i="121"/>
  <c r="G209" i="121"/>
  <c r="G208" i="121"/>
  <c r="G204" i="121"/>
  <c r="G202" i="121"/>
  <c r="G201" i="121"/>
  <c r="G200" i="121"/>
  <c r="G199" i="121"/>
  <c r="G198" i="121"/>
  <c r="G197" i="121"/>
  <c r="G196" i="121"/>
  <c r="G195" i="121"/>
  <c r="G194" i="121"/>
  <c r="G193" i="121"/>
  <c r="G192" i="121"/>
  <c r="G191" i="121"/>
  <c r="G190" i="121"/>
  <c r="G189" i="121"/>
  <c r="G188" i="121"/>
  <c r="G187" i="121"/>
  <c r="G186" i="121"/>
  <c r="G185" i="121"/>
  <c r="G184" i="121"/>
  <c r="G183" i="121"/>
  <c r="G182" i="121"/>
  <c r="G178" i="121"/>
  <c r="G176" i="121"/>
  <c r="G175" i="121"/>
  <c r="G166" i="121"/>
  <c r="G165" i="121"/>
  <c r="G164" i="121"/>
  <c r="G163" i="121"/>
  <c r="G162" i="121"/>
  <c r="G161" i="121"/>
  <c r="G157" i="121"/>
  <c r="G155" i="121"/>
  <c r="G154" i="121"/>
  <c r="G153" i="121"/>
  <c r="G152" i="121"/>
  <c r="G151" i="121"/>
  <c r="G150" i="121"/>
  <c r="G149" i="121"/>
  <c r="G148" i="121"/>
  <c r="G147" i="121"/>
  <c r="G146" i="121"/>
  <c r="G145" i="121"/>
  <c r="G144" i="121"/>
  <c r="G143" i="121"/>
  <c r="G142" i="121"/>
  <c r="G141" i="121"/>
  <c r="G140" i="121"/>
  <c r="G139" i="121"/>
  <c r="G138" i="121"/>
  <c r="G137" i="121"/>
  <c r="G136" i="121"/>
  <c r="G135" i="121"/>
  <c r="G134" i="121"/>
  <c r="G130" i="121"/>
  <c r="G128" i="121"/>
  <c r="G127" i="121"/>
  <c r="G126" i="121"/>
  <c r="G125" i="121"/>
  <c r="G124" i="121"/>
  <c r="G123" i="121"/>
  <c r="G122" i="121"/>
  <c r="G120" i="121"/>
  <c r="G119" i="121"/>
  <c r="G118" i="121"/>
  <c r="G117" i="121"/>
  <c r="G116" i="121"/>
  <c r="G115" i="121"/>
  <c r="G114" i="121"/>
  <c r="G113" i="121"/>
  <c r="G112" i="121"/>
  <c r="G111" i="121"/>
  <c r="G110" i="121"/>
  <c r="G109" i="121"/>
  <c r="G108" i="121"/>
  <c r="G107" i="121"/>
  <c r="G106" i="121"/>
  <c r="G102" i="121"/>
  <c r="G101" i="121"/>
  <c r="G99" i="121"/>
  <c r="G98" i="121"/>
  <c r="G97" i="121"/>
  <c r="G96" i="121"/>
  <c r="G95" i="121"/>
  <c r="G94" i="121"/>
  <c r="G93" i="121"/>
  <c r="G92" i="121"/>
  <c r="G91" i="121"/>
  <c r="G90" i="121"/>
  <c r="G89" i="121"/>
  <c r="G88" i="121"/>
  <c r="G87" i="121"/>
  <c r="G86" i="121"/>
  <c r="G85" i="121"/>
  <c r="G84" i="121"/>
  <c r="G83" i="121"/>
  <c r="G82" i="121"/>
  <c r="G81" i="121"/>
  <c r="G80" i="121"/>
  <c r="G76" i="121"/>
  <c r="G74" i="121"/>
  <c r="G73" i="121"/>
  <c r="G72" i="121"/>
  <c r="G71" i="121"/>
  <c r="G70" i="121"/>
  <c r="G69" i="121"/>
  <c r="G68" i="121"/>
  <c r="G67" i="121"/>
  <c r="G66" i="121"/>
  <c r="G65" i="121"/>
  <c r="G64" i="121"/>
  <c r="G63" i="121"/>
  <c r="G62" i="121"/>
  <c r="G61" i="121"/>
  <c r="G60" i="121"/>
  <c r="G59" i="121"/>
  <c r="G58" i="121"/>
  <c r="G57" i="121"/>
  <c r="G56" i="121"/>
  <c r="G55" i="121"/>
  <c r="G54" i="121"/>
  <c r="G50" i="121"/>
  <c r="G48" i="121"/>
  <c r="G47" i="121"/>
  <c r="G46" i="121"/>
  <c r="G45" i="121"/>
  <c r="G44" i="121"/>
  <c r="G43" i="121"/>
  <c r="G42" i="121"/>
  <c r="G41" i="121"/>
  <c r="G40" i="121"/>
  <c r="G39" i="121"/>
  <c r="G38" i="121"/>
  <c r="G37" i="121"/>
  <c r="G36" i="121"/>
  <c r="G35" i="121"/>
  <c r="G34" i="121"/>
  <c r="G33" i="121"/>
  <c r="G32" i="121"/>
  <c r="G31" i="121"/>
  <c r="G30" i="121"/>
  <c r="G26" i="121"/>
  <c r="G24" i="121"/>
  <c r="G23" i="121"/>
  <c r="G22" i="121"/>
  <c r="G21" i="121"/>
  <c r="G20" i="121"/>
  <c r="G19" i="121"/>
  <c r="G18" i="121"/>
  <c r="G17" i="121"/>
  <c r="G16" i="121"/>
  <c r="G15" i="121"/>
  <c r="G14" i="121"/>
  <c r="G13" i="121"/>
  <c r="G12" i="121"/>
  <c r="G11" i="121"/>
  <c r="G10" i="121"/>
  <c r="G9" i="121"/>
  <c r="G8" i="121"/>
  <c r="G5" i="121"/>
  <c r="G4" i="121"/>
  <c r="G655" i="120"/>
  <c r="G654" i="120"/>
  <c r="G649" i="120"/>
  <c r="G648" i="120"/>
  <c r="G647" i="120"/>
  <c r="G646" i="120"/>
  <c r="G645" i="120"/>
  <c r="G644" i="120"/>
  <c r="G643" i="120"/>
  <c r="G642" i="120"/>
  <c r="G641" i="120"/>
  <c r="G640" i="120"/>
  <c r="G639" i="120"/>
  <c r="G638" i="120"/>
  <c r="G637" i="120"/>
  <c r="G636" i="120"/>
  <c r="G635" i="120"/>
  <c r="G634" i="120"/>
  <c r="G633" i="120"/>
  <c r="G632" i="120"/>
  <c r="G631" i="120"/>
  <c r="G630" i="120"/>
  <c r="G629" i="120"/>
  <c r="G628" i="120"/>
  <c r="G627" i="120"/>
  <c r="G626" i="120"/>
  <c r="G625" i="120"/>
  <c r="G624" i="120"/>
  <c r="G623" i="120"/>
  <c r="G622" i="120"/>
  <c r="G621" i="120"/>
  <c r="G617" i="120"/>
  <c r="G616" i="120"/>
  <c r="G615" i="120"/>
  <c r="G614" i="120"/>
  <c r="G613" i="120"/>
  <c r="G612" i="120"/>
  <c r="G611" i="120"/>
  <c r="G610" i="120"/>
  <c r="G609" i="120"/>
  <c r="G608" i="120"/>
  <c r="G607" i="120"/>
  <c r="G606" i="120"/>
  <c r="G605" i="120"/>
  <c r="G604" i="120"/>
  <c r="G603" i="120"/>
  <c r="G602" i="120"/>
  <c r="G600" i="120"/>
  <c r="G599" i="120"/>
  <c r="G598" i="120"/>
  <c r="G597" i="120"/>
  <c r="G596" i="120"/>
  <c r="G595" i="120"/>
  <c r="G594" i="120"/>
  <c r="G593" i="120"/>
  <c r="G592" i="120"/>
  <c r="G591" i="120"/>
  <c r="G590" i="120"/>
  <c r="G589" i="120"/>
  <c r="G588" i="120"/>
  <c r="G587" i="120"/>
  <c r="G586" i="120"/>
  <c r="G585" i="120"/>
  <c r="G584" i="120"/>
  <c r="G583" i="120"/>
  <c r="G582" i="120"/>
  <c r="G581" i="120"/>
  <c r="G580" i="120"/>
  <c r="G579" i="120"/>
  <c r="G578" i="120"/>
  <c r="G577" i="120"/>
  <c r="G576" i="120"/>
  <c r="G575" i="120"/>
  <c r="G571" i="120"/>
  <c r="G570" i="120"/>
  <c r="G566" i="120"/>
  <c r="G565" i="120"/>
  <c r="G564" i="120"/>
  <c r="G563" i="120"/>
  <c r="G562" i="120"/>
  <c r="G561" i="120"/>
  <c r="G560" i="120"/>
  <c r="G559" i="120"/>
  <c r="G557" i="120"/>
  <c r="G556" i="120"/>
  <c r="G555" i="120"/>
  <c r="G554" i="120"/>
  <c r="G553" i="120"/>
  <c r="G552" i="120"/>
  <c r="G551" i="120"/>
  <c r="G550" i="120"/>
  <c r="G549" i="120"/>
  <c r="G548" i="120"/>
  <c r="G547" i="120"/>
  <c r="G546" i="120"/>
  <c r="G545" i="120"/>
  <c r="G544" i="120"/>
  <c r="G543" i="120"/>
  <c r="G542" i="120"/>
  <c r="G541" i="120"/>
  <c r="G540" i="120"/>
  <c r="G539" i="120"/>
  <c r="G538" i="120"/>
  <c r="G537" i="120"/>
  <c r="G536" i="120"/>
  <c r="G535" i="120"/>
  <c r="G534" i="120"/>
  <c r="G533" i="120"/>
  <c r="G529" i="120"/>
  <c r="G527" i="120"/>
  <c r="G526" i="120"/>
  <c r="G525" i="120"/>
  <c r="G524" i="120"/>
  <c r="G523" i="120"/>
  <c r="G522" i="120"/>
  <c r="G521" i="120"/>
  <c r="G520" i="120"/>
  <c r="G519" i="120"/>
  <c r="G518" i="120"/>
  <c r="G517" i="120"/>
  <c r="G516" i="120"/>
  <c r="G515" i="120"/>
  <c r="G514" i="120"/>
  <c r="G513" i="120"/>
  <c r="G512" i="120"/>
  <c r="G511" i="120"/>
  <c r="G510" i="120"/>
  <c r="G509" i="120"/>
  <c r="G508" i="120"/>
  <c r="G507" i="120"/>
  <c r="G506" i="120"/>
  <c r="G505" i="120"/>
  <c r="G501" i="120"/>
  <c r="G500" i="120"/>
  <c r="G499" i="120"/>
  <c r="G498" i="120"/>
  <c r="G497" i="120"/>
  <c r="G496" i="120"/>
  <c r="G495" i="120"/>
  <c r="G493" i="120"/>
  <c r="G492" i="120"/>
  <c r="G491" i="120"/>
  <c r="G490" i="120"/>
  <c r="G489" i="120"/>
  <c r="G488" i="120"/>
  <c r="G487" i="120"/>
  <c r="G486" i="120"/>
  <c r="G485" i="120"/>
  <c r="G484" i="120"/>
  <c r="G483" i="120"/>
  <c r="G482" i="120"/>
  <c r="G481" i="120"/>
  <c r="G480" i="120"/>
  <c r="G479" i="120"/>
  <c r="G478" i="120"/>
  <c r="G477" i="120"/>
  <c r="G476" i="120"/>
  <c r="G475" i="120"/>
  <c r="G474" i="120"/>
  <c r="G473" i="120"/>
  <c r="G472" i="120"/>
  <c r="G471" i="120"/>
  <c r="G470" i="120"/>
  <c r="G469" i="120"/>
  <c r="G468" i="120"/>
  <c r="G467" i="120"/>
  <c r="G466" i="120"/>
  <c r="G465" i="120"/>
  <c r="G460" i="120"/>
  <c r="G457" i="120"/>
  <c r="G456" i="120"/>
  <c r="G455" i="120"/>
  <c r="G454" i="120"/>
  <c r="G453" i="120"/>
  <c r="G452" i="120"/>
  <c r="G444" i="120"/>
  <c r="G443" i="120"/>
  <c r="G442" i="120"/>
  <c r="G438" i="120"/>
  <c r="G437" i="120"/>
  <c r="G431" i="120"/>
  <c r="G430" i="120"/>
  <c r="G422" i="120"/>
  <c r="G421" i="120"/>
  <c r="G420" i="120"/>
  <c r="G419" i="120"/>
  <c r="G418" i="120"/>
  <c r="G417" i="120"/>
  <c r="G416" i="120"/>
  <c r="G415" i="120"/>
  <c r="G414" i="120"/>
  <c r="G413" i="120"/>
  <c r="G412" i="120"/>
  <c r="G407" i="120"/>
  <c r="G406" i="120"/>
  <c r="G405" i="120"/>
  <c r="G404" i="120"/>
  <c r="G403" i="120"/>
  <c r="G402" i="120"/>
  <c r="G401" i="120"/>
  <c r="G400" i="120"/>
  <c r="G399" i="120"/>
  <c r="G398" i="120"/>
  <c r="G397" i="120"/>
  <c r="G396" i="120"/>
  <c r="G395" i="120"/>
  <c r="G394" i="120"/>
  <c r="G393" i="120"/>
  <c r="G392" i="120"/>
  <c r="G391" i="120"/>
  <c r="G390" i="120"/>
  <c r="G389" i="120"/>
  <c r="G388" i="120"/>
  <c r="G387" i="120"/>
  <c r="G386" i="120"/>
  <c r="G385" i="120"/>
  <c r="G384" i="120"/>
  <c r="G383" i="120"/>
  <c r="G382" i="120"/>
  <c r="G381" i="120"/>
  <c r="G377" i="120"/>
  <c r="G376" i="120"/>
  <c r="G375" i="120"/>
  <c r="G374" i="120"/>
  <c r="G373" i="120"/>
  <c r="G372" i="120"/>
  <c r="G370" i="120"/>
  <c r="G368" i="120"/>
  <c r="G367" i="120"/>
  <c r="G366" i="120"/>
  <c r="G365" i="120"/>
  <c r="G364" i="120"/>
  <c r="G363" i="120"/>
  <c r="G362" i="120"/>
  <c r="G361" i="120"/>
  <c r="G360" i="120"/>
  <c r="G359" i="120"/>
  <c r="G358" i="120"/>
  <c r="G357" i="120"/>
  <c r="G356" i="120"/>
  <c r="G355" i="120"/>
  <c r="G354" i="120"/>
  <c r="G353" i="120"/>
  <c r="G352" i="120"/>
  <c r="G351" i="120"/>
  <c r="G350" i="120"/>
  <c r="G349" i="120"/>
  <c r="G348" i="120"/>
  <c r="G347" i="120"/>
  <c r="G346" i="120"/>
  <c r="G345" i="120"/>
  <c r="G343" i="120"/>
  <c r="G342" i="120"/>
  <c r="G341" i="120"/>
  <c r="G340" i="120"/>
  <c r="G339" i="120"/>
  <c r="G337" i="120"/>
  <c r="G336" i="120"/>
  <c r="G335" i="120"/>
  <c r="G334" i="120"/>
  <c r="G333" i="120"/>
  <c r="G329" i="120"/>
  <c r="G328" i="120"/>
  <c r="G327" i="120"/>
  <c r="G326" i="120"/>
  <c r="G324" i="120"/>
  <c r="G322" i="120"/>
  <c r="G321" i="120"/>
  <c r="G320" i="120"/>
  <c r="G319" i="120"/>
  <c r="G318" i="120"/>
  <c r="G317" i="120"/>
  <c r="G316" i="120"/>
  <c r="G315" i="120"/>
  <c r="G314" i="120"/>
  <c r="G313" i="120"/>
  <c r="G312" i="120"/>
  <c r="G311" i="120"/>
  <c r="G310" i="120"/>
  <c r="G309" i="120"/>
  <c r="G308" i="120"/>
  <c r="G307" i="120"/>
  <c r="G306" i="120"/>
  <c r="G305" i="120"/>
  <c r="G304" i="120"/>
  <c r="G303" i="120"/>
  <c r="G302" i="120"/>
  <c r="G301" i="120"/>
  <c r="G300" i="120"/>
  <c r="G299" i="120"/>
  <c r="G298" i="120"/>
  <c r="G297" i="120"/>
  <c r="G296" i="120"/>
  <c r="G295" i="120"/>
  <c r="G294" i="120"/>
  <c r="G293" i="120"/>
  <c r="G292" i="120"/>
  <c r="G291" i="120"/>
  <c r="G290" i="120"/>
  <c r="G284" i="120"/>
  <c r="G283" i="120"/>
  <c r="G282" i="120"/>
  <c r="G278" i="120"/>
  <c r="G277" i="120"/>
  <c r="G276" i="120"/>
  <c r="G275" i="120"/>
  <c r="G273" i="120"/>
  <c r="G272" i="120"/>
  <c r="G271" i="120"/>
  <c r="G270" i="120"/>
  <c r="G269" i="120"/>
  <c r="G268" i="120"/>
  <c r="G267" i="120"/>
  <c r="G266" i="120"/>
  <c r="G265" i="120"/>
  <c r="G264" i="120"/>
  <c r="G263" i="120"/>
  <c r="G262" i="120"/>
  <c r="G261" i="120"/>
  <c r="G260" i="120"/>
  <c r="G259" i="120"/>
  <c r="G258" i="120"/>
  <c r="G257" i="120"/>
  <c r="G256" i="120"/>
  <c r="G255" i="120"/>
  <c r="G254" i="120"/>
  <c r="G253" i="120"/>
  <c r="G252" i="120"/>
  <c r="G251" i="120"/>
  <c r="G250" i="120"/>
  <c r="G249" i="120"/>
  <c r="G248" i="120"/>
  <c r="G247" i="120"/>
  <c r="G246" i="120"/>
  <c r="G245" i="120"/>
  <c r="G240" i="120"/>
  <c r="G239" i="120"/>
  <c r="G238" i="120"/>
  <c r="G237" i="120"/>
  <c r="G236" i="120"/>
  <c r="G235" i="120"/>
  <c r="G234" i="120"/>
  <c r="G233" i="120"/>
  <c r="G232" i="120"/>
  <c r="G231" i="120"/>
  <c r="G230" i="120"/>
  <c r="G229" i="120"/>
  <c r="G228" i="120"/>
  <c r="G227" i="120"/>
  <c r="G226" i="120"/>
  <c r="G225" i="120"/>
  <c r="G224" i="120"/>
  <c r="G223" i="120"/>
  <c r="G222" i="120"/>
  <c r="G221" i="120"/>
  <c r="G220" i="120"/>
  <c r="G219" i="120"/>
  <c r="G218" i="120"/>
  <c r="G217" i="120"/>
  <c r="G216" i="120"/>
  <c r="G215" i="120"/>
  <c r="G214" i="120"/>
  <c r="G213" i="120"/>
  <c r="G212" i="120"/>
  <c r="G211" i="120"/>
  <c r="G210" i="120"/>
  <c r="G209" i="120"/>
  <c r="G208" i="120"/>
  <c r="G204" i="120"/>
  <c r="G202" i="120"/>
  <c r="G201" i="120"/>
  <c r="G200" i="120"/>
  <c r="G199" i="120"/>
  <c r="G198" i="120"/>
  <c r="G197" i="120"/>
  <c r="G196" i="120"/>
  <c r="G195" i="120"/>
  <c r="G194" i="120"/>
  <c r="G193" i="120"/>
  <c r="G192" i="120"/>
  <c r="G191" i="120"/>
  <c r="G190" i="120"/>
  <c r="G189" i="120"/>
  <c r="G188" i="120"/>
  <c r="G187" i="120"/>
  <c r="G186" i="120"/>
  <c r="G185" i="120"/>
  <c r="G184" i="120"/>
  <c r="G183" i="120"/>
  <c r="G182" i="120"/>
  <c r="G178" i="120"/>
  <c r="G176" i="120"/>
  <c r="G175" i="120"/>
  <c r="G167" i="120"/>
  <c r="G166" i="120"/>
  <c r="G165" i="120"/>
  <c r="G164" i="120"/>
  <c r="G163" i="120"/>
  <c r="G162" i="120"/>
  <c r="G161" i="120"/>
  <c r="G157" i="120"/>
  <c r="G155" i="120"/>
  <c r="G154" i="120"/>
  <c r="G153" i="120"/>
  <c r="G152" i="120"/>
  <c r="G151" i="120"/>
  <c r="G150" i="120"/>
  <c r="G149" i="120"/>
  <c r="G148" i="120"/>
  <c r="G147" i="120"/>
  <c r="G146" i="120"/>
  <c r="G145" i="120"/>
  <c r="G144" i="120"/>
  <c r="G143" i="120"/>
  <c r="G142" i="120"/>
  <c r="G138" i="120"/>
  <c r="G137" i="120"/>
  <c r="G136" i="120"/>
  <c r="G135" i="120"/>
  <c r="G134" i="120"/>
  <c r="G130" i="120"/>
  <c r="G128" i="120"/>
  <c r="G127" i="120"/>
  <c r="G126" i="120"/>
  <c r="G125" i="120"/>
  <c r="G124" i="120"/>
  <c r="G118" i="120"/>
  <c r="G117" i="120"/>
  <c r="G116" i="120"/>
  <c r="G115" i="120"/>
  <c r="G114" i="120"/>
  <c r="G113" i="120"/>
  <c r="G112" i="120"/>
  <c r="G111" i="120"/>
  <c r="G110" i="120"/>
  <c r="G109" i="120"/>
  <c r="G108" i="120"/>
  <c r="G107" i="120"/>
  <c r="G106" i="120"/>
  <c r="G102" i="120"/>
  <c r="G101" i="120"/>
  <c r="G99" i="120"/>
  <c r="G98" i="120"/>
  <c r="G97" i="120"/>
  <c r="G96" i="120"/>
  <c r="G95" i="120"/>
  <c r="G94" i="120"/>
  <c r="G93" i="120"/>
  <c r="G92" i="120"/>
  <c r="G91" i="120"/>
  <c r="G90" i="120"/>
  <c r="G89" i="120"/>
  <c r="G88" i="120"/>
  <c r="G87" i="120"/>
  <c r="G86" i="120"/>
  <c r="G85" i="120"/>
  <c r="G84" i="120"/>
  <c r="G83" i="120"/>
  <c r="G82" i="120"/>
  <c r="G81" i="120"/>
  <c r="G80" i="120"/>
  <c r="G76" i="120"/>
  <c r="G74" i="120"/>
  <c r="G73" i="120"/>
  <c r="G72" i="120"/>
  <c r="G71" i="120"/>
  <c r="G70" i="120"/>
  <c r="G69" i="120"/>
  <c r="G68" i="120"/>
  <c r="G67" i="120"/>
  <c r="G66" i="120"/>
  <c r="G65" i="120"/>
  <c r="G64" i="120"/>
  <c r="G63" i="120"/>
  <c r="G62" i="120"/>
  <c r="G61" i="120"/>
  <c r="G60" i="120"/>
  <c r="G59" i="120"/>
  <c r="G58" i="120"/>
  <c r="G57" i="120"/>
  <c r="G56" i="120"/>
  <c r="G55" i="120"/>
  <c r="G54" i="120"/>
  <c r="G50" i="120"/>
  <c r="G48" i="120"/>
  <c r="G47" i="120"/>
  <c r="G46" i="120"/>
  <c r="G45" i="120"/>
  <c r="G44" i="120"/>
  <c r="G43" i="120"/>
  <c r="G42" i="120"/>
  <c r="G41" i="120"/>
  <c r="G40" i="120"/>
  <c r="G39" i="120"/>
  <c r="G38" i="120"/>
  <c r="G37" i="120"/>
  <c r="G36" i="120"/>
  <c r="G35" i="120"/>
  <c r="G34" i="120"/>
  <c r="G33" i="120"/>
  <c r="G32" i="120"/>
  <c r="G31" i="120"/>
  <c r="G30" i="120"/>
  <c r="G26" i="120"/>
  <c r="G24" i="120"/>
  <c r="G23" i="120"/>
  <c r="G22" i="120"/>
  <c r="G21" i="120"/>
  <c r="G20" i="120"/>
  <c r="G19" i="120"/>
  <c r="G18" i="120"/>
  <c r="G17" i="120"/>
  <c r="G16" i="120"/>
  <c r="G15" i="120"/>
  <c r="G14" i="120"/>
  <c r="G13" i="120"/>
  <c r="G12" i="120"/>
  <c r="G11" i="120"/>
  <c r="G10" i="120"/>
  <c r="G9" i="120"/>
  <c r="G8" i="120"/>
  <c r="G5" i="120"/>
  <c r="G4" i="120"/>
  <c r="G659" i="119"/>
  <c r="G658" i="119"/>
  <c r="G652" i="119"/>
  <c r="G651" i="119"/>
  <c r="G650" i="119"/>
  <c r="G649" i="119"/>
  <c r="G648" i="119"/>
  <c r="G647" i="119"/>
  <c r="G646" i="119"/>
  <c r="G645" i="119"/>
  <c r="G644" i="119"/>
  <c r="G643" i="119"/>
  <c r="G642" i="119"/>
  <c r="G641" i="119"/>
  <c r="G640" i="119"/>
  <c r="G639" i="119"/>
  <c r="G638" i="119"/>
  <c r="G637" i="119"/>
  <c r="G636" i="119"/>
  <c r="G635" i="119"/>
  <c r="G634" i="119"/>
  <c r="G633" i="119"/>
  <c r="G632" i="119"/>
  <c r="G631" i="119"/>
  <c r="G630" i="119"/>
  <c r="G629" i="119"/>
  <c r="G628" i="119"/>
  <c r="G627" i="119"/>
  <c r="G626" i="119"/>
  <c r="G625" i="119"/>
  <c r="G624" i="119"/>
  <c r="G623" i="119"/>
  <c r="G619" i="119"/>
  <c r="G618" i="119"/>
  <c r="G617" i="119"/>
  <c r="G616" i="119"/>
  <c r="G615" i="119"/>
  <c r="G614" i="119"/>
  <c r="G613" i="119"/>
  <c r="G611" i="119"/>
  <c r="G610" i="119"/>
  <c r="G609" i="119"/>
  <c r="G608" i="119"/>
  <c r="G607" i="119"/>
  <c r="G606" i="119"/>
  <c r="G605" i="119"/>
  <c r="G604" i="119"/>
  <c r="G603" i="119"/>
  <c r="G602" i="119"/>
  <c r="G601" i="119"/>
  <c r="G600" i="119"/>
  <c r="G599" i="119"/>
  <c r="G598" i="119"/>
  <c r="G597" i="119"/>
  <c r="G596" i="119"/>
  <c r="G595" i="119"/>
  <c r="G594" i="119"/>
  <c r="G593" i="119"/>
  <c r="G592" i="119"/>
  <c r="G591" i="119"/>
  <c r="G590" i="119"/>
  <c r="G589" i="119"/>
  <c r="G587" i="119"/>
  <c r="G586" i="119"/>
  <c r="G584" i="119"/>
  <c r="G583" i="119"/>
  <c r="G582" i="119"/>
  <c r="G581" i="119"/>
  <c r="G580" i="119"/>
  <c r="G579" i="119"/>
  <c r="G578" i="119"/>
  <c r="G577" i="119"/>
  <c r="G576" i="119"/>
  <c r="G572" i="119"/>
  <c r="G569" i="119"/>
  <c r="G568" i="119"/>
  <c r="G567" i="119"/>
  <c r="G565" i="119"/>
  <c r="G564" i="119"/>
  <c r="G563" i="119"/>
  <c r="G562" i="119"/>
  <c r="G561" i="119"/>
  <c r="G560" i="119"/>
  <c r="G559" i="119"/>
  <c r="G558" i="119"/>
  <c r="G557" i="119"/>
  <c r="G556" i="119"/>
  <c r="G555" i="119"/>
  <c r="G554" i="119"/>
  <c r="G553" i="119"/>
  <c r="G552" i="119"/>
  <c r="G551" i="119"/>
  <c r="G550" i="119"/>
  <c r="G549" i="119"/>
  <c r="G548" i="119"/>
  <c r="G547" i="119"/>
  <c r="G546" i="119"/>
  <c r="G545" i="119"/>
  <c r="G544" i="119"/>
  <c r="G543" i="119"/>
  <c r="G542" i="119"/>
  <c r="G541" i="119"/>
  <c r="G540" i="119"/>
  <c r="G539" i="119"/>
  <c r="G538" i="119"/>
  <c r="G537" i="119"/>
  <c r="G536" i="119"/>
  <c r="G531" i="119"/>
  <c r="G530" i="119"/>
  <c r="G529" i="119"/>
  <c r="G528" i="119"/>
  <c r="G527" i="119"/>
  <c r="G526" i="119"/>
  <c r="G525" i="119"/>
  <c r="G524" i="119"/>
  <c r="G523" i="119"/>
  <c r="G522" i="119"/>
  <c r="G521" i="119"/>
  <c r="G520" i="119"/>
  <c r="G519" i="119"/>
  <c r="G518" i="119"/>
  <c r="G517" i="119"/>
  <c r="G516" i="119"/>
  <c r="G515" i="119"/>
  <c r="G514" i="119"/>
  <c r="G513" i="119"/>
  <c r="G512" i="119"/>
  <c r="G511" i="119"/>
  <c r="G510" i="119"/>
  <c r="G509" i="119"/>
  <c r="G508" i="119"/>
  <c r="G504" i="119"/>
  <c r="G503" i="119"/>
  <c r="G502" i="119"/>
  <c r="G501" i="119"/>
  <c r="G500" i="119"/>
  <c r="G499" i="119"/>
  <c r="G498" i="119"/>
  <c r="G494" i="119"/>
  <c r="G493" i="119"/>
  <c r="G492" i="119"/>
  <c r="G490" i="119"/>
  <c r="G489" i="119"/>
  <c r="G488" i="119"/>
  <c r="G487" i="119"/>
  <c r="G486" i="119"/>
  <c r="G485" i="119"/>
  <c r="G484" i="119"/>
  <c r="G483" i="119"/>
  <c r="G482" i="119"/>
  <c r="G481" i="119"/>
  <c r="G480" i="119"/>
  <c r="G479" i="119"/>
  <c r="G478" i="119"/>
  <c r="G477" i="119"/>
  <c r="G476" i="119"/>
  <c r="G475" i="119"/>
  <c r="G474" i="119"/>
  <c r="G473" i="119"/>
  <c r="G472" i="119"/>
  <c r="G471" i="119"/>
  <c r="G470" i="119"/>
  <c r="G469" i="119"/>
  <c r="G468" i="119"/>
  <c r="G467" i="119"/>
  <c r="G466" i="119"/>
  <c r="G465" i="119"/>
  <c r="G460" i="119"/>
  <c r="G459" i="119"/>
  <c r="G458" i="119"/>
  <c r="G457" i="119"/>
  <c r="G456" i="119"/>
  <c r="G455" i="119"/>
  <c r="G454" i="119"/>
  <c r="G446" i="119"/>
  <c r="G445" i="119"/>
  <c r="G444" i="119"/>
  <c r="G440" i="119"/>
  <c r="G439" i="119"/>
  <c r="G433" i="119"/>
  <c r="G432" i="119"/>
  <c r="G431" i="119"/>
  <c r="G430" i="119"/>
  <c r="G429" i="119"/>
  <c r="G428" i="119"/>
  <c r="G427" i="119"/>
  <c r="G426" i="119"/>
  <c r="G425" i="119"/>
  <c r="G424" i="119"/>
  <c r="G423" i="119"/>
  <c r="G422" i="119"/>
  <c r="G421" i="119"/>
  <c r="G420" i="119"/>
  <c r="G419" i="119"/>
  <c r="G418" i="119"/>
  <c r="G417" i="119"/>
  <c r="G416" i="119"/>
  <c r="G415" i="119"/>
  <c r="G414" i="119"/>
  <c r="G410" i="119"/>
  <c r="G408" i="119"/>
  <c r="G407" i="119"/>
  <c r="G406" i="119"/>
  <c r="G405" i="119"/>
  <c r="G404" i="119"/>
  <c r="G403" i="119"/>
  <c r="G402" i="119"/>
  <c r="G401" i="119"/>
  <c r="G400" i="119"/>
  <c r="G399" i="119"/>
  <c r="G398" i="119"/>
  <c r="G397" i="119"/>
  <c r="G396" i="119"/>
  <c r="G395" i="119"/>
  <c r="G394" i="119"/>
  <c r="G393" i="119"/>
  <c r="G392" i="119"/>
  <c r="G391" i="119"/>
  <c r="G390" i="119"/>
  <c r="G389" i="119"/>
  <c r="G388" i="119"/>
  <c r="G387" i="119"/>
  <c r="G386" i="119"/>
  <c r="G385" i="119"/>
  <c r="G384" i="119"/>
  <c r="G383" i="119"/>
  <c r="G382" i="119"/>
  <c r="G378" i="119"/>
  <c r="G377" i="119"/>
  <c r="G376" i="119"/>
  <c r="G375" i="119"/>
  <c r="G374" i="119"/>
  <c r="G373" i="119"/>
  <c r="G372" i="119"/>
  <c r="G370" i="119"/>
  <c r="G368" i="119"/>
  <c r="G367" i="119"/>
  <c r="G366" i="119"/>
  <c r="G365" i="119"/>
  <c r="G364" i="119"/>
  <c r="G363" i="119"/>
  <c r="G362" i="119"/>
  <c r="G361" i="119"/>
  <c r="G360" i="119"/>
  <c r="G359" i="119"/>
  <c r="G358" i="119"/>
  <c r="G357" i="119"/>
  <c r="G356" i="119"/>
  <c r="G355" i="119"/>
  <c r="G354" i="119"/>
  <c r="G353" i="119"/>
  <c r="G352" i="119"/>
  <c r="G338" i="119"/>
  <c r="G337" i="119"/>
  <c r="G336" i="119"/>
  <c r="G335" i="119"/>
  <c r="G334" i="119"/>
  <c r="G330" i="119"/>
  <c r="G329" i="119"/>
  <c r="G328" i="119"/>
  <c r="G327" i="119"/>
  <c r="G326" i="119"/>
  <c r="G325" i="119"/>
  <c r="G324" i="119"/>
  <c r="G322" i="119"/>
  <c r="G320" i="119"/>
  <c r="G319" i="119"/>
  <c r="G318" i="119"/>
  <c r="G317" i="119"/>
  <c r="G316" i="119"/>
  <c r="G315" i="119"/>
  <c r="G314" i="119"/>
  <c r="G313" i="119"/>
  <c r="G312" i="119"/>
  <c r="G311" i="119"/>
  <c r="G310" i="119"/>
  <c r="G309" i="119"/>
  <c r="G308" i="119"/>
  <c r="G307" i="119"/>
  <c r="G306" i="119"/>
  <c r="G305" i="119"/>
  <c r="G304" i="119"/>
  <c r="G303" i="119"/>
  <c r="G302" i="119"/>
  <c r="G301" i="119"/>
  <c r="G300" i="119"/>
  <c r="G299" i="119"/>
  <c r="G298" i="119"/>
  <c r="G297" i="119"/>
  <c r="G296" i="119"/>
  <c r="G295" i="119"/>
  <c r="G294" i="119"/>
  <c r="G293" i="119"/>
  <c r="G285" i="119"/>
  <c r="G284" i="119"/>
  <c r="G283" i="119"/>
  <c r="G279" i="119"/>
  <c r="G278" i="119"/>
  <c r="G277" i="119"/>
  <c r="G275" i="119"/>
  <c r="G274" i="119"/>
  <c r="G273" i="119"/>
  <c r="G272" i="119"/>
  <c r="G271" i="119"/>
  <c r="G270" i="119"/>
  <c r="G269" i="119"/>
  <c r="G268" i="119"/>
  <c r="G267" i="119"/>
  <c r="G266" i="119"/>
  <c r="G265" i="119"/>
  <c r="G264" i="119"/>
  <c r="G263" i="119"/>
  <c r="G262" i="119"/>
  <c r="G261" i="119"/>
  <c r="G260" i="119"/>
  <c r="G259" i="119"/>
  <c r="G258" i="119"/>
  <c r="G257" i="119"/>
  <c r="G256" i="119"/>
  <c r="G255" i="119"/>
  <c r="G254" i="119"/>
  <c r="G253" i="119"/>
  <c r="G252" i="119"/>
  <c r="G251" i="119"/>
  <c r="G250" i="119"/>
  <c r="G249" i="119"/>
  <c r="G248" i="119"/>
  <c r="G247" i="119"/>
  <c r="G246" i="119"/>
  <c r="G242" i="119"/>
  <c r="G240" i="119"/>
  <c r="G239" i="119"/>
  <c r="G238" i="119"/>
  <c r="G237" i="119"/>
  <c r="G236" i="119"/>
  <c r="G235" i="119"/>
  <c r="G234" i="119"/>
  <c r="G233" i="119"/>
  <c r="G232" i="119"/>
  <c r="G231" i="119"/>
  <c r="G230" i="119"/>
  <c r="G229" i="119"/>
  <c r="G228" i="119"/>
  <c r="G227" i="119"/>
  <c r="G226" i="119"/>
  <c r="G225" i="119"/>
  <c r="G224" i="119"/>
  <c r="G223" i="119"/>
  <c r="G222" i="119"/>
  <c r="G221" i="119"/>
  <c r="G220" i="119"/>
  <c r="G219" i="119"/>
  <c r="G218" i="119"/>
  <c r="G217" i="119"/>
  <c r="G216" i="119"/>
  <c r="G215" i="119"/>
  <c r="G214" i="119"/>
  <c r="G213" i="119"/>
  <c r="G212" i="119"/>
  <c r="G211" i="119"/>
  <c r="G210" i="119"/>
  <c r="G209" i="119"/>
  <c r="G208" i="119"/>
  <c r="G204" i="119"/>
  <c r="G202" i="119"/>
  <c r="G201" i="119"/>
  <c r="G200" i="119"/>
  <c r="G199" i="119"/>
  <c r="G198" i="119"/>
  <c r="G197" i="119"/>
  <c r="G196" i="119"/>
  <c r="G195" i="119"/>
  <c r="G194" i="119"/>
  <c r="G193" i="119"/>
  <c r="G192" i="119"/>
  <c r="G191" i="119"/>
  <c r="G190" i="119"/>
  <c r="G189" i="119"/>
  <c r="G188" i="119"/>
  <c r="G187" i="119"/>
  <c r="G186" i="119"/>
  <c r="G185" i="119"/>
  <c r="G184" i="119"/>
  <c r="G183" i="119"/>
  <c r="G182" i="119"/>
  <c r="G178" i="119"/>
  <c r="G177" i="119"/>
  <c r="G175" i="119"/>
  <c r="G174" i="119"/>
  <c r="G173" i="119"/>
  <c r="G167" i="119"/>
  <c r="G166" i="119"/>
  <c r="G165" i="119"/>
  <c r="G164" i="119"/>
  <c r="G163" i="119"/>
  <c r="G162" i="119"/>
  <c r="G161" i="119"/>
  <c r="G157" i="119"/>
  <c r="G156" i="119"/>
  <c r="G154" i="119"/>
  <c r="G153" i="119"/>
  <c r="G152" i="119"/>
  <c r="G151" i="119"/>
  <c r="G150" i="119"/>
  <c r="G149" i="119"/>
  <c r="G148" i="119"/>
  <c r="G147" i="119"/>
  <c r="G146" i="119"/>
  <c r="G145" i="119"/>
  <c r="G144" i="119"/>
  <c r="G143" i="119"/>
  <c r="G138" i="119"/>
  <c r="G137" i="119"/>
  <c r="G136" i="119"/>
  <c r="G135" i="119"/>
  <c r="G134" i="119"/>
  <c r="G130" i="119"/>
  <c r="G129" i="119"/>
  <c r="G127" i="119"/>
  <c r="G126" i="119"/>
  <c r="G125" i="119"/>
  <c r="G124" i="119"/>
  <c r="G118" i="119"/>
  <c r="G117" i="119"/>
  <c r="G116" i="119"/>
  <c r="G115" i="119"/>
  <c r="G114" i="119"/>
  <c r="G113" i="119"/>
  <c r="G112" i="119"/>
  <c r="G111" i="119"/>
  <c r="G110" i="119"/>
  <c r="G109" i="119"/>
  <c r="G108" i="119"/>
  <c r="G107" i="119"/>
  <c r="G106" i="119"/>
  <c r="G102" i="119"/>
  <c r="G101" i="119"/>
  <c r="G100" i="119"/>
  <c r="G98" i="119"/>
  <c r="G97" i="119"/>
  <c r="G96" i="119"/>
  <c r="G95" i="119"/>
  <c r="G94" i="119"/>
  <c r="G93" i="119"/>
  <c r="G92" i="119"/>
  <c r="G91" i="119"/>
  <c r="G90" i="119"/>
  <c r="G89" i="119"/>
  <c r="G88" i="119"/>
  <c r="G87" i="119"/>
  <c r="G86" i="119"/>
  <c r="G85" i="119"/>
  <c r="G84" i="119"/>
  <c r="G83" i="119"/>
  <c r="G82" i="119"/>
  <c r="G81" i="119"/>
  <c r="G80" i="119"/>
  <c r="G76" i="119"/>
  <c r="G74" i="119"/>
  <c r="G73" i="119"/>
  <c r="G72" i="119"/>
  <c r="G71" i="119"/>
  <c r="G70" i="119"/>
  <c r="G69" i="119"/>
  <c r="G68" i="119"/>
  <c r="G67" i="119"/>
  <c r="G66" i="119"/>
  <c r="G65" i="119"/>
  <c r="G64" i="119"/>
  <c r="G63" i="119"/>
  <c r="G62" i="119"/>
  <c r="G61" i="119"/>
  <c r="G60" i="119"/>
  <c r="G59" i="119"/>
  <c r="G58" i="119"/>
  <c r="G57" i="119"/>
  <c r="G56" i="119"/>
  <c r="G55" i="119"/>
  <c r="G54" i="119"/>
  <c r="G50" i="119"/>
  <c r="G48" i="119"/>
  <c r="G47" i="119"/>
  <c r="G46" i="119"/>
  <c r="G45" i="119"/>
  <c r="G44" i="119"/>
  <c r="G43" i="119"/>
  <c r="G42" i="119"/>
  <c r="G41" i="119"/>
  <c r="G40" i="119"/>
  <c r="G39" i="119"/>
  <c r="G38" i="119"/>
  <c r="G37" i="119"/>
  <c r="G36" i="119"/>
  <c r="G35" i="119"/>
  <c r="G34" i="119"/>
  <c r="G33" i="119"/>
  <c r="G32" i="119"/>
  <c r="G31" i="119"/>
  <c r="G30" i="119"/>
  <c r="G26" i="119"/>
  <c r="G24" i="119"/>
  <c r="G23" i="119"/>
  <c r="G22" i="119"/>
  <c r="G21" i="119"/>
  <c r="G20" i="119"/>
  <c r="G19" i="119"/>
  <c r="G18" i="119"/>
  <c r="G17" i="119"/>
  <c r="G16" i="119"/>
  <c r="G15" i="119"/>
  <c r="G14" i="119"/>
  <c r="G13" i="119"/>
  <c r="G12" i="119"/>
  <c r="G11" i="119"/>
  <c r="G10" i="119"/>
  <c r="G9" i="119"/>
  <c r="G8" i="119"/>
  <c r="G5" i="119"/>
  <c r="G4" i="119"/>
  <c r="G659" i="118"/>
  <c r="G658" i="118"/>
  <c r="G652" i="118"/>
  <c r="G651" i="118"/>
  <c r="G650" i="118"/>
  <c r="G649" i="118"/>
  <c r="G648" i="118"/>
  <c r="G647" i="118"/>
  <c r="G646" i="118"/>
  <c r="G645" i="118"/>
  <c r="G644" i="118"/>
  <c r="G643" i="118"/>
  <c r="G642" i="118"/>
  <c r="G641" i="118"/>
  <c r="G640" i="118"/>
  <c r="G639" i="118"/>
  <c r="G638" i="118"/>
  <c r="G637" i="118"/>
  <c r="G636" i="118"/>
  <c r="G635" i="118"/>
  <c r="G634" i="118"/>
  <c r="G633" i="118"/>
  <c r="G632" i="118"/>
  <c r="G631" i="118"/>
  <c r="G630" i="118"/>
  <c r="G629" i="118"/>
  <c r="G628" i="118"/>
  <c r="G627" i="118"/>
  <c r="G626" i="118"/>
  <c r="G625" i="118"/>
  <c r="G624" i="118"/>
  <c r="G623" i="118"/>
  <c r="G619" i="118"/>
  <c r="G618" i="118"/>
  <c r="G617" i="118"/>
  <c r="G616" i="118"/>
  <c r="G615" i="118"/>
  <c r="G614" i="118"/>
  <c r="G613" i="118"/>
  <c r="G611" i="118"/>
  <c r="G610" i="118"/>
  <c r="G609" i="118"/>
  <c r="G608" i="118"/>
  <c r="G607" i="118"/>
  <c r="G606" i="118"/>
  <c r="G605" i="118"/>
  <c r="G604" i="118"/>
  <c r="G603" i="118"/>
  <c r="G602" i="118"/>
  <c r="G601" i="118"/>
  <c r="G600" i="118"/>
  <c r="G599" i="118"/>
  <c r="G598" i="118"/>
  <c r="G597" i="118"/>
  <c r="G596" i="118"/>
  <c r="G595" i="118"/>
  <c r="G594" i="118"/>
  <c r="G593" i="118"/>
  <c r="G592" i="118"/>
  <c r="G591" i="118"/>
  <c r="G590" i="118"/>
  <c r="G589" i="118"/>
  <c r="G588" i="118"/>
  <c r="G587" i="118"/>
  <c r="G586" i="118"/>
  <c r="G585" i="118"/>
  <c r="G584" i="118"/>
  <c r="G583" i="118"/>
  <c r="G582" i="118"/>
  <c r="G581" i="118"/>
  <c r="G580" i="118"/>
  <c r="G579" i="118"/>
  <c r="G578" i="118"/>
  <c r="G577" i="118"/>
  <c r="G576" i="118"/>
  <c r="G572" i="118"/>
  <c r="G569" i="118"/>
  <c r="G568" i="118"/>
  <c r="G567" i="118"/>
  <c r="G565" i="118"/>
  <c r="G564" i="118"/>
  <c r="G563" i="118"/>
  <c r="G562" i="118"/>
  <c r="G561" i="118"/>
  <c r="G560" i="118"/>
  <c r="G559" i="118"/>
  <c r="G558" i="118"/>
  <c r="G557" i="118"/>
  <c r="G556" i="118"/>
  <c r="G555" i="118"/>
  <c r="G554" i="118"/>
  <c r="G553" i="118"/>
  <c r="G552" i="118"/>
  <c r="G551" i="118"/>
  <c r="G550" i="118"/>
  <c r="G549" i="118"/>
  <c r="G548" i="118"/>
  <c r="G547" i="118"/>
  <c r="G546" i="118"/>
  <c r="G545" i="118"/>
  <c r="G544" i="118"/>
  <c r="G543" i="118"/>
  <c r="G542" i="118"/>
  <c r="G541" i="118"/>
  <c r="G540" i="118"/>
  <c r="G539" i="118"/>
  <c r="G538" i="118"/>
  <c r="G537" i="118"/>
  <c r="G536" i="118"/>
  <c r="G531" i="118"/>
  <c r="G530" i="118"/>
  <c r="G529" i="118"/>
  <c r="G528" i="118"/>
  <c r="G527" i="118"/>
  <c r="G526" i="118"/>
  <c r="G525" i="118"/>
  <c r="G524" i="118"/>
  <c r="G523" i="118"/>
  <c r="G522" i="118"/>
  <c r="G521" i="118"/>
  <c r="G520" i="118"/>
  <c r="G519" i="118"/>
  <c r="G518" i="118"/>
  <c r="G517" i="118"/>
  <c r="G516" i="118"/>
  <c r="G515" i="118"/>
  <c r="G514" i="118"/>
  <c r="G513" i="118"/>
  <c r="G512" i="118"/>
  <c r="G511" i="118"/>
  <c r="G510" i="118"/>
  <c r="G509" i="118"/>
  <c r="G508" i="118"/>
  <c r="G504" i="118"/>
  <c r="G503" i="118"/>
  <c r="G502" i="118"/>
  <c r="G501" i="118"/>
  <c r="G500" i="118"/>
  <c r="G499" i="118"/>
  <c r="G498" i="118"/>
  <c r="G494" i="118"/>
  <c r="G493" i="118"/>
  <c r="G492" i="118"/>
  <c r="G490" i="118"/>
  <c r="G489" i="118"/>
  <c r="G488" i="118"/>
  <c r="G487" i="118"/>
  <c r="G486" i="118"/>
  <c r="G485" i="118"/>
  <c r="G484" i="118"/>
  <c r="G483" i="118"/>
  <c r="G482" i="118"/>
  <c r="G481" i="118"/>
  <c r="G480" i="118"/>
  <c r="G479" i="118"/>
  <c r="G478" i="118"/>
  <c r="G477" i="118"/>
  <c r="G476" i="118"/>
  <c r="G475" i="118"/>
  <c r="G474" i="118"/>
  <c r="G473" i="118"/>
  <c r="G472" i="118"/>
  <c r="G471" i="118"/>
  <c r="G470" i="118"/>
  <c r="G469" i="118"/>
  <c r="G468" i="118"/>
  <c r="G467" i="118"/>
  <c r="G466" i="118"/>
  <c r="G465" i="118"/>
  <c r="G460" i="118"/>
  <c r="G459" i="118"/>
  <c r="G458" i="118"/>
  <c r="G457" i="118"/>
  <c r="G456" i="118"/>
  <c r="G455" i="118"/>
  <c r="G454" i="118"/>
  <c r="G446" i="118"/>
  <c r="G445" i="118"/>
  <c r="G444" i="118"/>
  <c r="G440" i="118"/>
  <c r="G439" i="118"/>
  <c r="G433" i="118"/>
  <c r="G432" i="118"/>
  <c r="G424" i="118"/>
  <c r="G423" i="118"/>
  <c r="G422" i="118"/>
  <c r="G421" i="118"/>
  <c r="G420" i="118"/>
  <c r="G419" i="118"/>
  <c r="G418" i="118"/>
  <c r="G417" i="118"/>
  <c r="G416" i="118"/>
  <c r="G415" i="118"/>
  <c r="G414" i="118"/>
  <c r="G410" i="118"/>
  <c r="G408" i="118"/>
  <c r="G407" i="118"/>
  <c r="G406" i="118"/>
  <c r="G405" i="118"/>
  <c r="G404" i="118"/>
  <c r="G403" i="118"/>
  <c r="G402" i="118"/>
  <c r="G401" i="118"/>
  <c r="G400" i="118"/>
  <c r="G399" i="118"/>
  <c r="G398" i="118"/>
  <c r="G397" i="118"/>
  <c r="G396" i="118"/>
  <c r="G395" i="118"/>
  <c r="G394" i="118"/>
  <c r="G393" i="118"/>
  <c r="G392" i="118"/>
  <c r="G391" i="118"/>
  <c r="G390" i="118"/>
  <c r="G389" i="118"/>
  <c r="G388" i="118"/>
  <c r="G387" i="118"/>
  <c r="G386" i="118"/>
  <c r="G385" i="118"/>
  <c r="G384" i="118"/>
  <c r="G383" i="118"/>
  <c r="G382" i="118"/>
  <c r="G378" i="118"/>
  <c r="G377" i="118"/>
  <c r="G376" i="118"/>
  <c r="G375" i="118"/>
  <c r="G374" i="118"/>
  <c r="G373" i="118"/>
  <c r="G372" i="118"/>
  <c r="G370" i="118"/>
  <c r="G368" i="118"/>
  <c r="G367" i="118"/>
  <c r="G366" i="118"/>
  <c r="G365" i="118"/>
  <c r="G364" i="118"/>
  <c r="G363" i="118"/>
  <c r="G362" i="118"/>
  <c r="G361" i="118"/>
  <c r="G360" i="118"/>
  <c r="G359" i="118"/>
  <c r="G358" i="118"/>
  <c r="G357" i="118"/>
  <c r="G356" i="118"/>
  <c r="G355" i="118"/>
  <c r="G354" i="118"/>
  <c r="G353" i="118"/>
  <c r="G352" i="118"/>
  <c r="G351" i="118"/>
  <c r="G350" i="118"/>
  <c r="G349" i="118"/>
  <c r="G348" i="118"/>
  <c r="G347" i="118"/>
  <c r="G346" i="118"/>
  <c r="G338" i="118"/>
  <c r="G337" i="118"/>
  <c r="G336" i="118"/>
  <c r="G335" i="118"/>
  <c r="G334" i="118"/>
  <c r="G330" i="118"/>
  <c r="G329" i="118"/>
  <c r="G328" i="118"/>
  <c r="G327" i="118"/>
  <c r="G326" i="118"/>
  <c r="G325" i="118"/>
  <c r="G324" i="118"/>
  <c r="G322" i="118"/>
  <c r="G320" i="118"/>
  <c r="G319" i="118"/>
  <c r="G318" i="118"/>
  <c r="G317" i="118"/>
  <c r="G316" i="118"/>
  <c r="G315" i="118"/>
  <c r="G314" i="118"/>
  <c r="G313" i="118"/>
  <c r="G312" i="118"/>
  <c r="G311" i="118"/>
  <c r="G310" i="118"/>
  <c r="G309" i="118"/>
  <c r="G308" i="118"/>
  <c r="G307" i="118"/>
  <c r="G306" i="118"/>
  <c r="G305" i="118"/>
  <c r="G304" i="118"/>
  <c r="G303" i="118"/>
  <c r="G302" i="118"/>
  <c r="G301" i="118"/>
  <c r="G300" i="118"/>
  <c r="G299" i="118"/>
  <c r="G287" i="118"/>
  <c r="G286" i="118"/>
  <c r="G285" i="118"/>
  <c r="G284" i="118"/>
  <c r="G283" i="118"/>
  <c r="G279" i="118"/>
  <c r="G278" i="118"/>
  <c r="G277" i="118"/>
  <c r="G275" i="118"/>
  <c r="G274" i="118"/>
  <c r="G273" i="118"/>
  <c r="G272" i="118"/>
  <c r="G271" i="118"/>
  <c r="G270" i="118"/>
  <c r="G269" i="118"/>
  <c r="G268" i="118"/>
  <c r="G267" i="118"/>
  <c r="G266" i="118"/>
  <c r="G265" i="118"/>
  <c r="G264" i="118"/>
  <c r="G263" i="118"/>
  <c r="G262" i="118"/>
  <c r="G261" i="118"/>
  <c r="G260" i="118"/>
  <c r="G259" i="118"/>
  <c r="G258" i="118"/>
  <c r="G257" i="118"/>
  <c r="G256" i="118"/>
  <c r="G255" i="118"/>
  <c r="G254" i="118"/>
  <c r="G253" i="118"/>
  <c r="G252" i="118"/>
  <c r="G251" i="118"/>
  <c r="G250" i="118"/>
  <c r="G249" i="118"/>
  <c r="G248" i="118"/>
  <c r="G247" i="118"/>
  <c r="G246" i="118"/>
  <c r="G242" i="118"/>
  <c r="G240" i="118"/>
  <c r="G239" i="118"/>
  <c r="G238" i="118"/>
  <c r="G237" i="118"/>
  <c r="G236" i="118"/>
  <c r="G235" i="118"/>
  <c r="G234" i="118"/>
  <c r="G233" i="118"/>
  <c r="G232" i="118"/>
  <c r="G231" i="118"/>
  <c r="G230" i="118"/>
  <c r="G229" i="118"/>
  <c r="G228" i="118"/>
  <c r="G227" i="118"/>
  <c r="G226" i="118"/>
  <c r="G225" i="118"/>
  <c r="G224" i="118"/>
  <c r="G223" i="118"/>
  <c r="G222" i="118"/>
  <c r="G221" i="118"/>
  <c r="G220" i="118"/>
  <c r="G219" i="118"/>
  <c r="G218" i="118"/>
  <c r="G217" i="118"/>
  <c r="G216" i="118"/>
  <c r="G215" i="118"/>
  <c r="G214" i="118"/>
  <c r="G213" i="118"/>
  <c r="G212" i="118"/>
  <c r="G211" i="118"/>
  <c r="G210" i="118"/>
  <c r="G209" i="118"/>
  <c r="G208" i="118"/>
  <c r="G204" i="118"/>
  <c r="G202" i="118"/>
  <c r="G201" i="118"/>
  <c r="G200" i="118"/>
  <c r="G199" i="118"/>
  <c r="G198" i="118"/>
  <c r="G197" i="118"/>
  <c r="G196" i="118"/>
  <c r="G195" i="118"/>
  <c r="G194" i="118"/>
  <c r="G193" i="118"/>
  <c r="G192" i="118"/>
  <c r="G191" i="118"/>
  <c r="G190" i="118"/>
  <c r="G189" i="118"/>
  <c r="G188" i="118"/>
  <c r="G187" i="118"/>
  <c r="G186" i="118"/>
  <c r="G185" i="118"/>
  <c r="G184" i="118"/>
  <c r="G183" i="118"/>
  <c r="G182" i="118"/>
  <c r="G178" i="118"/>
  <c r="G177" i="118"/>
  <c r="G175" i="118"/>
  <c r="G174" i="118"/>
  <c r="G173" i="118"/>
  <c r="G167" i="118"/>
  <c r="G166" i="118"/>
  <c r="G165" i="118"/>
  <c r="G164" i="118"/>
  <c r="G163" i="118"/>
  <c r="G162" i="118"/>
  <c r="G161" i="118"/>
  <c r="G157" i="118"/>
  <c r="G156" i="118"/>
  <c r="G154" i="118"/>
  <c r="G153" i="118"/>
  <c r="G152" i="118"/>
  <c r="G151" i="118"/>
  <c r="G150" i="118"/>
  <c r="G149" i="118"/>
  <c r="G148" i="118"/>
  <c r="G147" i="118"/>
  <c r="G146" i="118"/>
  <c r="G145" i="118"/>
  <c r="G144" i="118"/>
  <c r="G143" i="118"/>
  <c r="G138" i="118"/>
  <c r="G137" i="118"/>
  <c r="G136" i="118"/>
  <c r="G135" i="118"/>
  <c r="G134" i="118"/>
  <c r="G130" i="118"/>
  <c r="G129" i="118"/>
  <c r="G127" i="118"/>
  <c r="G126" i="118"/>
  <c r="G125" i="118"/>
  <c r="G124" i="118"/>
  <c r="G118" i="118"/>
  <c r="G117" i="118"/>
  <c r="G116" i="118"/>
  <c r="G115" i="118"/>
  <c r="G114" i="118"/>
  <c r="G113" i="118"/>
  <c r="G112" i="118"/>
  <c r="G111" i="118"/>
  <c r="G110" i="118"/>
  <c r="G109" i="118"/>
  <c r="G108" i="118"/>
  <c r="G107" i="118"/>
  <c r="G106" i="118"/>
  <c r="G102" i="118"/>
  <c r="G101" i="118"/>
  <c r="G100" i="118"/>
  <c r="G98" i="118"/>
  <c r="G97" i="118"/>
  <c r="G96" i="118"/>
  <c r="G95" i="118"/>
  <c r="G94" i="118"/>
  <c r="G93" i="118"/>
  <c r="G92" i="118"/>
  <c r="G91" i="118"/>
  <c r="G90" i="118"/>
  <c r="G89" i="118"/>
  <c r="G88" i="118"/>
  <c r="G87" i="118"/>
  <c r="G86" i="118"/>
  <c r="G85" i="118"/>
  <c r="G84" i="118"/>
  <c r="G83" i="118"/>
  <c r="G82" i="118"/>
  <c r="G81" i="118"/>
  <c r="G80" i="118"/>
  <c r="G76" i="118"/>
  <c r="G74" i="118"/>
  <c r="G73" i="118"/>
  <c r="G72" i="118"/>
  <c r="G71" i="118"/>
  <c r="G70" i="118"/>
  <c r="G69" i="118"/>
  <c r="G68" i="118"/>
  <c r="G67" i="118"/>
  <c r="G66" i="118"/>
  <c r="G65" i="118"/>
  <c r="G64" i="118"/>
  <c r="G63" i="118"/>
  <c r="G62" i="118"/>
  <c r="G61" i="118"/>
  <c r="G60" i="118"/>
  <c r="G59" i="118"/>
  <c r="G58" i="118"/>
  <c r="G57" i="118"/>
  <c r="G56" i="118"/>
  <c r="G55" i="118"/>
  <c r="G54" i="118"/>
  <c r="G50" i="118"/>
  <c r="G48" i="118"/>
  <c r="G47" i="118"/>
  <c r="G46" i="118"/>
  <c r="G45" i="118"/>
  <c r="G44" i="118"/>
  <c r="G43" i="118"/>
  <c r="G42" i="118"/>
  <c r="G41" i="118"/>
  <c r="G40" i="118"/>
  <c r="G39" i="118"/>
  <c r="G38" i="118"/>
  <c r="G37" i="118"/>
  <c r="G36" i="118"/>
  <c r="G35" i="118"/>
  <c r="G34" i="118"/>
  <c r="G33" i="118"/>
  <c r="G32" i="118"/>
  <c r="G31" i="118"/>
  <c r="G30" i="118"/>
  <c r="G26" i="118"/>
  <c r="G24" i="118"/>
  <c r="G23" i="118"/>
  <c r="G22" i="118"/>
  <c r="G21" i="118"/>
  <c r="G20" i="118"/>
  <c r="G19" i="118"/>
  <c r="G18" i="118"/>
  <c r="G17" i="118"/>
  <c r="G16" i="118"/>
  <c r="G15" i="118"/>
  <c r="G14" i="118"/>
  <c r="G13" i="118"/>
  <c r="G12" i="118"/>
  <c r="G11" i="118"/>
  <c r="G10" i="118"/>
  <c r="G9" i="118"/>
  <c r="G8" i="118"/>
  <c r="G5" i="118"/>
  <c r="G4" i="118"/>
  <c r="G655" i="117"/>
  <c r="G654" i="117"/>
  <c r="G649" i="117"/>
  <c r="G648" i="117"/>
  <c r="G647" i="117"/>
  <c r="G646" i="117"/>
  <c r="G645" i="117"/>
  <c r="G644" i="117"/>
  <c r="G643" i="117"/>
  <c r="G642" i="117"/>
  <c r="G641" i="117"/>
  <c r="G640" i="117"/>
  <c r="G639" i="117"/>
  <c r="G638" i="117"/>
  <c r="G637" i="117"/>
  <c r="G636" i="117"/>
  <c r="G635" i="117"/>
  <c r="G634" i="117"/>
  <c r="G633" i="117"/>
  <c r="G632" i="117"/>
  <c r="G631" i="117"/>
  <c r="G630" i="117"/>
  <c r="G629" i="117"/>
  <c r="G628" i="117"/>
  <c r="G627" i="117"/>
  <c r="G626" i="117"/>
  <c r="G625" i="117"/>
  <c r="G624" i="117"/>
  <c r="G623" i="117"/>
  <c r="G622" i="117"/>
  <c r="G621" i="117"/>
  <c r="G617" i="117"/>
  <c r="G616" i="117"/>
  <c r="G615" i="117"/>
  <c r="G614" i="117"/>
  <c r="G613" i="117"/>
  <c r="G612" i="117"/>
  <c r="G611" i="117"/>
  <c r="G610" i="117"/>
  <c r="G609" i="117"/>
  <c r="G608" i="117"/>
  <c r="G607" i="117"/>
  <c r="G606" i="117"/>
  <c r="G605" i="117"/>
  <c r="G604" i="117"/>
  <c r="G603" i="117"/>
  <c r="G602" i="117"/>
  <c r="G600" i="117"/>
  <c r="G599" i="117"/>
  <c r="G598" i="117"/>
  <c r="G597" i="117"/>
  <c r="G596" i="117"/>
  <c r="G595" i="117"/>
  <c r="G594" i="117"/>
  <c r="G593" i="117"/>
  <c r="G592" i="117"/>
  <c r="G591" i="117"/>
  <c r="G590" i="117"/>
  <c r="G589" i="117"/>
  <c r="G588" i="117"/>
  <c r="G587" i="117"/>
  <c r="G586" i="117"/>
  <c r="G585" i="117"/>
  <c r="G584" i="117"/>
  <c r="G583" i="117"/>
  <c r="G582" i="117"/>
  <c r="G581" i="117"/>
  <c r="G580" i="117"/>
  <c r="G579" i="117"/>
  <c r="G578" i="117"/>
  <c r="G577" i="117"/>
  <c r="G576" i="117"/>
  <c r="G575" i="117"/>
  <c r="G571" i="117"/>
  <c r="G570" i="117"/>
  <c r="G566" i="117"/>
  <c r="G565" i="117"/>
  <c r="G564" i="117"/>
  <c r="G563" i="117"/>
  <c r="G562" i="117"/>
  <c r="G561" i="117"/>
  <c r="G560" i="117"/>
  <c r="G559" i="117"/>
  <c r="G557" i="117"/>
  <c r="G556" i="117"/>
  <c r="G555" i="117"/>
  <c r="G554" i="117"/>
  <c r="G553" i="117"/>
  <c r="G552" i="117"/>
  <c r="G551" i="117"/>
  <c r="G550" i="117"/>
  <c r="G549" i="117"/>
  <c r="G548" i="117"/>
  <c r="G547" i="117"/>
  <c r="G546" i="117"/>
  <c r="G545" i="117"/>
  <c r="G544" i="117"/>
  <c r="G543" i="117"/>
  <c r="G542" i="117"/>
  <c r="G541" i="117"/>
  <c r="G540" i="117"/>
  <c r="G539" i="117"/>
  <c r="G538" i="117"/>
  <c r="G537" i="117"/>
  <c r="G536" i="117"/>
  <c r="G535" i="117"/>
  <c r="G534" i="117"/>
  <c r="G533" i="117"/>
  <c r="G529" i="117"/>
  <c r="G527" i="117"/>
  <c r="G526" i="117"/>
  <c r="G525" i="117"/>
  <c r="G524" i="117"/>
  <c r="G523" i="117"/>
  <c r="G522" i="117"/>
  <c r="G521" i="117"/>
  <c r="G520" i="117"/>
  <c r="G519" i="117"/>
  <c r="G518" i="117"/>
  <c r="G517" i="117"/>
  <c r="G516" i="117"/>
  <c r="G515" i="117"/>
  <c r="G514" i="117"/>
  <c r="G513" i="117"/>
  <c r="G512" i="117"/>
  <c r="G511" i="117"/>
  <c r="G510" i="117"/>
  <c r="G509" i="117"/>
  <c r="G508" i="117"/>
  <c r="G507" i="117"/>
  <c r="G506" i="117"/>
  <c r="G505" i="117"/>
  <c r="G501" i="117"/>
  <c r="G500" i="117"/>
  <c r="G499" i="117"/>
  <c r="G498" i="117"/>
  <c r="G497" i="117"/>
  <c r="G496" i="117"/>
  <c r="G495" i="117"/>
  <c r="G493" i="117"/>
  <c r="G492" i="117"/>
  <c r="G491" i="117"/>
  <c r="G490" i="117"/>
  <c r="G489" i="117"/>
  <c r="G488" i="117"/>
  <c r="G487" i="117"/>
  <c r="G486" i="117"/>
  <c r="G485" i="117"/>
  <c r="G484" i="117"/>
  <c r="G483" i="117"/>
  <c r="G482" i="117"/>
  <c r="G481" i="117"/>
  <c r="G480" i="117"/>
  <c r="G479" i="117"/>
  <c r="G478" i="117"/>
  <c r="G477" i="117"/>
  <c r="G476" i="117"/>
  <c r="G475" i="117"/>
  <c r="G474" i="117"/>
  <c r="G473" i="117"/>
  <c r="G472" i="117"/>
  <c r="G471" i="117"/>
  <c r="G470" i="117"/>
  <c r="G469" i="117"/>
  <c r="G468" i="117"/>
  <c r="G467" i="117"/>
  <c r="G466" i="117"/>
  <c r="G465" i="117"/>
  <c r="G460" i="117"/>
  <c r="G457" i="117"/>
  <c r="G456" i="117"/>
  <c r="G455" i="117"/>
  <c r="G454" i="117"/>
  <c r="G453" i="117"/>
  <c r="G452" i="117"/>
  <c r="G444" i="117"/>
  <c r="G443" i="117"/>
  <c r="G442" i="117"/>
  <c r="G438" i="117"/>
  <c r="G437" i="117"/>
  <c r="G431" i="117"/>
  <c r="G430" i="117"/>
  <c r="G422" i="117"/>
  <c r="G421" i="117"/>
  <c r="G420" i="117"/>
  <c r="G419" i="117"/>
  <c r="G418" i="117"/>
  <c r="G417" i="117"/>
  <c r="G416" i="117"/>
  <c r="G415" i="117"/>
  <c r="G414" i="117"/>
  <c r="G413" i="117"/>
  <c r="G412" i="117"/>
  <c r="G407" i="117"/>
  <c r="G406" i="117"/>
  <c r="G405" i="117"/>
  <c r="G404" i="117"/>
  <c r="G403" i="117"/>
  <c r="G402" i="117"/>
  <c r="G401" i="117"/>
  <c r="G400" i="117"/>
  <c r="G399" i="117"/>
  <c r="G398" i="117"/>
  <c r="G397" i="117"/>
  <c r="G396" i="117"/>
  <c r="G395" i="117"/>
  <c r="G394" i="117"/>
  <c r="G393" i="117"/>
  <c r="G392" i="117"/>
  <c r="G391" i="117"/>
  <c r="G390" i="117"/>
  <c r="G389" i="117"/>
  <c r="G388" i="117"/>
  <c r="G387" i="117"/>
  <c r="G386" i="117"/>
  <c r="G385" i="117"/>
  <c r="G384" i="117"/>
  <c r="G383" i="117"/>
  <c r="G382" i="117"/>
  <c r="G381" i="117"/>
  <c r="G377" i="117"/>
  <c r="G376" i="117"/>
  <c r="G375" i="117"/>
  <c r="G374" i="117"/>
  <c r="G373" i="117"/>
  <c r="G372" i="117"/>
  <c r="G370" i="117"/>
  <c r="G368" i="117"/>
  <c r="G367" i="117"/>
  <c r="G366" i="117"/>
  <c r="G365" i="117"/>
  <c r="G364" i="117"/>
  <c r="G363" i="117"/>
  <c r="G362" i="117"/>
  <c r="G361" i="117"/>
  <c r="G360" i="117"/>
  <c r="G359" i="117"/>
  <c r="G358" i="117"/>
  <c r="G357" i="117"/>
  <c r="G356" i="117"/>
  <c r="G355" i="117"/>
  <c r="G354" i="117"/>
  <c r="G353" i="117"/>
  <c r="G352" i="117"/>
  <c r="G351" i="117"/>
  <c r="G350" i="117"/>
  <c r="G349" i="117"/>
  <c r="G348" i="117"/>
  <c r="G347" i="117"/>
  <c r="G346" i="117"/>
  <c r="G338" i="117"/>
  <c r="G337" i="117"/>
  <c r="G336" i="117"/>
  <c r="G335" i="117"/>
  <c r="G334" i="117"/>
  <c r="G333" i="117"/>
  <c r="G329" i="117"/>
  <c r="G328" i="117"/>
  <c r="G327" i="117"/>
  <c r="G326" i="117"/>
  <c r="G324" i="117"/>
  <c r="G322" i="117"/>
  <c r="G321" i="117"/>
  <c r="G320" i="117"/>
  <c r="G319" i="117"/>
  <c r="G318" i="117"/>
  <c r="G317" i="117"/>
  <c r="G316" i="117"/>
  <c r="G315" i="117"/>
  <c r="G314" i="117"/>
  <c r="G313" i="117"/>
  <c r="G312" i="117"/>
  <c r="G311" i="117"/>
  <c r="G310" i="117"/>
  <c r="G309" i="117"/>
  <c r="G308" i="117"/>
  <c r="G307" i="117"/>
  <c r="G306" i="117"/>
  <c r="G305" i="117"/>
  <c r="G304" i="117"/>
  <c r="G303" i="117"/>
  <c r="G302" i="117"/>
  <c r="G301" i="117"/>
  <c r="G300" i="117"/>
  <c r="G299" i="117"/>
  <c r="G298" i="117"/>
  <c r="G297" i="117"/>
  <c r="G296" i="117"/>
  <c r="G295" i="117"/>
  <c r="G294" i="117"/>
  <c r="G293" i="117"/>
  <c r="G292" i="117"/>
  <c r="G291" i="117"/>
  <c r="G285" i="117"/>
  <c r="G284" i="117"/>
  <c r="G283" i="117"/>
  <c r="G282" i="117"/>
  <c r="G278" i="117"/>
  <c r="G277" i="117"/>
  <c r="G276" i="117"/>
  <c r="G275" i="117"/>
  <c r="G273" i="117"/>
  <c r="G272" i="117"/>
  <c r="G271" i="117"/>
  <c r="G270" i="117"/>
  <c r="G269" i="117"/>
  <c r="G268" i="117"/>
  <c r="G267" i="117"/>
  <c r="G266" i="117"/>
  <c r="G265" i="117"/>
  <c r="G264" i="117"/>
  <c r="G263" i="117"/>
  <c r="G262" i="117"/>
  <c r="G261" i="117"/>
  <c r="G260" i="117"/>
  <c r="G259" i="117"/>
  <c r="G258" i="117"/>
  <c r="G257" i="117"/>
  <c r="G256" i="117"/>
  <c r="G255" i="117"/>
  <c r="G254" i="117"/>
  <c r="G253" i="117"/>
  <c r="G252" i="117"/>
  <c r="G251" i="117"/>
  <c r="G250" i="117"/>
  <c r="G249" i="117"/>
  <c r="G248" i="117"/>
  <c r="G247" i="117"/>
  <c r="G246" i="117"/>
  <c r="G245" i="117"/>
  <c r="G240" i="117"/>
  <c r="G239" i="117"/>
  <c r="G238" i="117"/>
  <c r="G237" i="117"/>
  <c r="G236" i="117"/>
  <c r="G235" i="117"/>
  <c r="G234" i="117"/>
  <c r="G233" i="117"/>
  <c r="G232" i="117"/>
  <c r="G231" i="117"/>
  <c r="G230" i="117"/>
  <c r="G229" i="117"/>
  <c r="G228" i="117"/>
  <c r="G227" i="117"/>
  <c r="G226" i="117"/>
  <c r="G225" i="117"/>
  <c r="G224" i="117"/>
  <c r="G223" i="117"/>
  <c r="G222" i="117"/>
  <c r="G221" i="117"/>
  <c r="G220" i="117"/>
  <c r="G219" i="117"/>
  <c r="G218" i="117"/>
  <c r="G217" i="117"/>
  <c r="G216" i="117"/>
  <c r="G215" i="117"/>
  <c r="G214" i="117"/>
  <c r="G213" i="117"/>
  <c r="G212" i="117"/>
  <c r="G211" i="117"/>
  <c r="G210" i="117"/>
  <c r="G209" i="117"/>
  <c r="G208" i="117"/>
  <c r="G204" i="117"/>
  <c r="G202" i="117"/>
  <c r="G201" i="117"/>
  <c r="G200" i="117"/>
  <c r="G199" i="117"/>
  <c r="G198" i="117"/>
  <c r="G197" i="117"/>
  <c r="G196" i="117"/>
  <c r="G195" i="117"/>
  <c r="G194" i="117"/>
  <c r="G193" i="117"/>
  <c r="G192" i="117"/>
  <c r="G191" i="117"/>
  <c r="G190" i="117"/>
  <c r="G189" i="117"/>
  <c r="G188" i="117"/>
  <c r="G187" i="117"/>
  <c r="G186" i="117"/>
  <c r="G185" i="117"/>
  <c r="G184" i="117"/>
  <c r="G183" i="117"/>
  <c r="G182" i="117"/>
  <c r="G178" i="117"/>
  <c r="G176" i="117"/>
  <c r="G175" i="117"/>
  <c r="G167" i="117"/>
  <c r="G166" i="117"/>
  <c r="G165" i="117"/>
  <c r="G164" i="117"/>
  <c r="G163" i="117"/>
  <c r="G162" i="117"/>
  <c r="G161" i="117"/>
  <c r="G157" i="117"/>
  <c r="G155" i="117"/>
  <c r="G154" i="117"/>
  <c r="G153" i="117"/>
  <c r="G152" i="117"/>
  <c r="G151" i="117"/>
  <c r="G150" i="117"/>
  <c r="G149" i="117"/>
  <c r="G148" i="117"/>
  <c r="G147" i="117"/>
  <c r="G146" i="117"/>
  <c r="G145" i="117"/>
  <c r="G144" i="117"/>
  <c r="G143" i="117"/>
  <c r="G142" i="117"/>
  <c r="G138" i="117"/>
  <c r="G137" i="117"/>
  <c r="G136" i="117"/>
  <c r="G135" i="117"/>
  <c r="G134" i="117"/>
  <c r="G130" i="117"/>
  <c r="G128" i="117"/>
  <c r="G127" i="117"/>
  <c r="G126" i="117"/>
  <c r="G125" i="117"/>
  <c r="G124" i="117"/>
  <c r="G118" i="117"/>
  <c r="G117" i="117"/>
  <c r="G116" i="117"/>
  <c r="G115" i="117"/>
  <c r="G114" i="117"/>
  <c r="G113" i="117"/>
  <c r="G112" i="117"/>
  <c r="G111" i="117"/>
  <c r="G110" i="117"/>
  <c r="G109" i="117"/>
  <c r="G108" i="117"/>
  <c r="G107" i="117"/>
  <c r="G106" i="117"/>
  <c r="G102" i="117"/>
  <c r="G101" i="117"/>
  <c r="G99" i="117"/>
  <c r="G98" i="117"/>
  <c r="G97" i="117"/>
  <c r="G96" i="117"/>
  <c r="G95" i="117"/>
  <c r="G94" i="117"/>
  <c r="G93" i="117"/>
  <c r="G92" i="117"/>
  <c r="G91" i="117"/>
  <c r="G90" i="117"/>
  <c r="G89" i="117"/>
  <c r="G88" i="117"/>
  <c r="G87" i="117"/>
  <c r="G86" i="117"/>
  <c r="G85" i="117"/>
  <c r="G84" i="117"/>
  <c r="G83" i="117"/>
  <c r="G82" i="117"/>
  <c r="G81" i="117"/>
  <c r="G80" i="117"/>
  <c r="G76" i="117"/>
  <c r="G74" i="117"/>
  <c r="G73" i="117"/>
  <c r="G72" i="117"/>
  <c r="G71" i="117"/>
  <c r="G70" i="117"/>
  <c r="G69" i="117"/>
  <c r="G68" i="117"/>
  <c r="G67" i="117"/>
  <c r="G66" i="117"/>
  <c r="G65" i="117"/>
  <c r="G64" i="117"/>
  <c r="G63" i="117"/>
  <c r="G62" i="117"/>
  <c r="G61" i="117"/>
  <c r="G60" i="117"/>
  <c r="G59" i="117"/>
  <c r="G58" i="117"/>
  <c r="G57" i="117"/>
  <c r="G56" i="117"/>
  <c r="G55" i="117"/>
  <c r="G54" i="117"/>
  <c r="G50" i="117"/>
  <c r="G48" i="117"/>
  <c r="G47" i="117"/>
  <c r="G46" i="117"/>
  <c r="G45" i="117"/>
  <c r="G44" i="117"/>
  <c r="G43" i="117"/>
  <c r="G42" i="117"/>
  <c r="G41" i="117"/>
  <c r="G40" i="117"/>
  <c r="G39" i="117"/>
  <c r="G38" i="117"/>
  <c r="G37" i="117"/>
  <c r="G36" i="117"/>
  <c r="G35" i="117"/>
  <c r="G34" i="117"/>
  <c r="G33" i="117"/>
  <c r="G32" i="117"/>
  <c r="G31" i="117"/>
  <c r="G30" i="117"/>
  <c r="G26" i="117"/>
  <c r="G24" i="117"/>
  <c r="G23" i="117"/>
  <c r="G22" i="117"/>
  <c r="G21" i="117"/>
  <c r="G20" i="117"/>
  <c r="G19" i="117"/>
  <c r="G18" i="117"/>
  <c r="G17" i="117"/>
  <c r="G16" i="117"/>
  <c r="G15" i="117"/>
  <c r="G14" i="117"/>
  <c r="G13" i="117"/>
  <c r="G12" i="117"/>
  <c r="G11" i="117"/>
  <c r="G10" i="117"/>
  <c r="G9" i="117"/>
  <c r="G8" i="117"/>
  <c r="G5" i="117"/>
  <c r="G4" i="117"/>
  <c r="G659" i="114"/>
  <c r="G658" i="114"/>
  <c r="G652" i="114"/>
  <c r="G651" i="114"/>
  <c r="G650" i="114"/>
  <c r="G649" i="114"/>
  <c r="G648" i="114"/>
  <c r="G647" i="114"/>
  <c r="G646" i="114"/>
  <c r="G645" i="114"/>
  <c r="G644" i="114"/>
  <c r="G643" i="114"/>
  <c r="G642" i="114"/>
  <c r="G641" i="114"/>
  <c r="G640" i="114"/>
  <c r="G639" i="114"/>
  <c r="G638" i="114"/>
  <c r="G637" i="114"/>
  <c r="G636" i="114"/>
  <c r="G635" i="114"/>
  <c r="G634" i="114"/>
  <c r="G633" i="114"/>
  <c r="G632" i="114"/>
  <c r="G631" i="114"/>
  <c r="G630" i="114"/>
  <c r="G629" i="114"/>
  <c r="G628" i="114"/>
  <c r="G627" i="114"/>
  <c r="G626" i="114"/>
  <c r="G625" i="114"/>
  <c r="G624" i="114"/>
  <c r="G623" i="114"/>
  <c r="G619" i="114"/>
  <c r="G618" i="114"/>
  <c r="G617" i="114"/>
  <c r="G616" i="114"/>
  <c r="G615" i="114"/>
  <c r="G614" i="114"/>
  <c r="G613" i="114"/>
  <c r="G611" i="114"/>
  <c r="G610" i="114"/>
  <c r="G609" i="114"/>
  <c r="G608" i="114"/>
  <c r="G607" i="114"/>
  <c r="G606" i="114"/>
  <c r="G605" i="114"/>
  <c r="G604" i="114"/>
  <c r="G603" i="114"/>
  <c r="G602" i="114"/>
  <c r="G601" i="114"/>
  <c r="G600" i="114"/>
  <c r="G599" i="114"/>
  <c r="G598" i="114"/>
  <c r="G597" i="114"/>
  <c r="G596" i="114"/>
  <c r="G595" i="114"/>
  <c r="G594" i="114"/>
  <c r="G593" i="114"/>
  <c r="G592" i="114"/>
  <c r="G591" i="114"/>
  <c r="G590" i="114"/>
  <c r="G589" i="114"/>
  <c r="G588" i="114"/>
  <c r="G587" i="114"/>
  <c r="G586" i="114"/>
  <c r="G585" i="114"/>
  <c r="G584" i="114"/>
  <c r="G583" i="114"/>
  <c r="G582" i="114"/>
  <c r="G581" i="114"/>
  <c r="G580" i="114"/>
  <c r="G579" i="114"/>
  <c r="G578" i="114"/>
  <c r="G577" i="114"/>
  <c r="G576" i="114"/>
  <c r="G572" i="114"/>
  <c r="G569" i="114"/>
  <c r="G568" i="114"/>
  <c r="G567" i="114"/>
  <c r="G565" i="114"/>
  <c r="G564" i="114"/>
  <c r="G563" i="114"/>
  <c r="G562" i="114"/>
  <c r="G561" i="114"/>
  <c r="G560" i="114"/>
  <c r="G559" i="114"/>
  <c r="G558" i="114"/>
  <c r="G557" i="114"/>
  <c r="G556" i="114"/>
  <c r="G555" i="114"/>
  <c r="G554" i="114"/>
  <c r="G553" i="114"/>
  <c r="G552" i="114"/>
  <c r="G551" i="114"/>
  <c r="G550" i="114"/>
  <c r="G549" i="114"/>
  <c r="G548" i="114"/>
  <c r="G547" i="114"/>
  <c r="G546" i="114"/>
  <c r="G545" i="114"/>
  <c r="G544" i="114"/>
  <c r="G543" i="114"/>
  <c r="G542" i="114"/>
  <c r="G541" i="114"/>
  <c r="G540" i="114"/>
  <c r="G539" i="114"/>
  <c r="G538" i="114"/>
  <c r="G537" i="114"/>
  <c r="G536" i="114"/>
  <c r="G531" i="114"/>
  <c r="G530" i="114"/>
  <c r="G529" i="114"/>
  <c r="G528" i="114"/>
  <c r="G527" i="114"/>
  <c r="G526" i="114"/>
  <c r="G525" i="114"/>
  <c r="G524" i="114"/>
  <c r="G523" i="114"/>
  <c r="G522" i="114"/>
  <c r="G521" i="114"/>
  <c r="G520" i="114"/>
  <c r="G519" i="114"/>
  <c r="G518" i="114"/>
  <c r="G517" i="114"/>
  <c r="G516" i="114"/>
  <c r="G515" i="114"/>
  <c r="G514" i="114"/>
  <c r="G513" i="114"/>
  <c r="G512" i="114"/>
  <c r="G511" i="114"/>
  <c r="G510" i="114"/>
  <c r="G509" i="114"/>
  <c r="G508" i="114"/>
  <c r="G504" i="114"/>
  <c r="G503" i="114"/>
  <c r="G502" i="114"/>
  <c r="G501" i="114"/>
  <c r="G500" i="114"/>
  <c r="G499" i="114"/>
  <c r="G498" i="114"/>
  <c r="G494" i="114"/>
  <c r="G493" i="114"/>
  <c r="G492" i="114"/>
  <c r="G490" i="114"/>
  <c r="G489" i="114"/>
  <c r="G488" i="114"/>
  <c r="G487" i="114"/>
  <c r="G486" i="114"/>
  <c r="G485" i="114"/>
  <c r="G484" i="114"/>
  <c r="G483" i="114"/>
  <c r="G482" i="114"/>
  <c r="G481" i="114"/>
  <c r="G480" i="114"/>
  <c r="G479" i="114"/>
  <c r="G478" i="114"/>
  <c r="G477" i="114"/>
  <c r="G476" i="114"/>
  <c r="G475" i="114"/>
  <c r="G474" i="114"/>
  <c r="G473" i="114"/>
  <c r="G472" i="114"/>
  <c r="G471" i="114"/>
  <c r="G470" i="114"/>
  <c r="G469" i="114"/>
  <c r="G468" i="114"/>
  <c r="G467" i="114"/>
  <c r="G466" i="114"/>
  <c r="G465" i="114"/>
  <c r="G460" i="114"/>
  <c r="G459" i="114"/>
  <c r="G458" i="114"/>
  <c r="G457" i="114"/>
  <c r="G456" i="114"/>
  <c r="G455" i="114"/>
  <c r="G454" i="114"/>
  <c r="G446" i="114"/>
  <c r="G445" i="114"/>
  <c r="G444" i="114"/>
  <c r="G440" i="114"/>
  <c r="G439" i="114"/>
  <c r="G433" i="114"/>
  <c r="G432" i="114"/>
  <c r="G424" i="114"/>
  <c r="G423" i="114"/>
  <c r="G422" i="114"/>
  <c r="G421" i="114"/>
  <c r="G420" i="114"/>
  <c r="G419" i="114"/>
  <c r="G418" i="114"/>
  <c r="G417" i="114"/>
  <c r="G416" i="114"/>
  <c r="G415" i="114"/>
  <c r="G414" i="114"/>
  <c r="G410" i="114"/>
  <c r="G408" i="114"/>
  <c r="G407" i="114"/>
  <c r="G406" i="114"/>
  <c r="G405" i="114"/>
  <c r="G404" i="114"/>
  <c r="G403" i="114"/>
  <c r="G402" i="114"/>
  <c r="G401" i="114"/>
  <c r="G400" i="114"/>
  <c r="G399" i="114"/>
  <c r="G398" i="114"/>
  <c r="G397" i="114"/>
  <c r="G396" i="114"/>
  <c r="G395" i="114"/>
  <c r="G394" i="114"/>
  <c r="G393" i="114"/>
  <c r="G392" i="114"/>
  <c r="G391" i="114"/>
  <c r="G390" i="114"/>
  <c r="G389" i="114"/>
  <c r="G388" i="114"/>
  <c r="G387" i="114"/>
  <c r="G386" i="114"/>
  <c r="G385" i="114"/>
  <c r="G384" i="114"/>
  <c r="G383" i="114"/>
  <c r="G382" i="114"/>
  <c r="G378" i="114"/>
  <c r="G377" i="114"/>
  <c r="G376" i="114"/>
  <c r="G375" i="114"/>
  <c r="G374" i="114"/>
  <c r="G373" i="114"/>
  <c r="G372" i="114"/>
  <c r="G370" i="114"/>
  <c r="G368" i="114"/>
  <c r="G367" i="114"/>
  <c r="G366" i="114"/>
  <c r="G365" i="114"/>
  <c r="G364" i="114"/>
  <c r="G363" i="114"/>
  <c r="G362" i="114"/>
  <c r="G361" i="114"/>
  <c r="G360" i="114"/>
  <c r="G359" i="114"/>
  <c r="G358" i="114"/>
  <c r="G357" i="114"/>
  <c r="G356" i="114"/>
  <c r="G355" i="114"/>
  <c r="G354" i="114"/>
  <c r="G353" i="114"/>
  <c r="G352" i="114"/>
  <c r="G351" i="114"/>
  <c r="G350" i="114"/>
  <c r="G349" i="114"/>
  <c r="G338" i="114"/>
  <c r="G337" i="114"/>
  <c r="G336" i="114"/>
  <c r="G335" i="114"/>
  <c r="G334" i="114"/>
  <c r="G330" i="114"/>
  <c r="G329" i="114"/>
  <c r="G328" i="114"/>
  <c r="G327" i="114"/>
  <c r="G326" i="114"/>
  <c r="G325" i="114"/>
  <c r="G324" i="114"/>
  <c r="G322" i="114"/>
  <c r="G320" i="114"/>
  <c r="G319" i="114"/>
  <c r="G318" i="114"/>
  <c r="G317" i="114"/>
  <c r="G316" i="114"/>
  <c r="G315" i="114"/>
  <c r="G314" i="114"/>
  <c r="G313" i="114"/>
  <c r="G312" i="114"/>
  <c r="G311" i="114"/>
  <c r="G310" i="114"/>
  <c r="G309" i="114"/>
  <c r="G308" i="114"/>
  <c r="G307" i="114"/>
  <c r="G306" i="114"/>
  <c r="G305" i="114"/>
  <c r="G304" i="114"/>
  <c r="G303" i="114"/>
  <c r="G302" i="114"/>
  <c r="G301" i="114"/>
  <c r="G300" i="114"/>
  <c r="G299" i="114"/>
  <c r="G287" i="114"/>
  <c r="G286" i="114"/>
  <c r="G285" i="114"/>
  <c r="G284" i="114"/>
  <c r="G283" i="114"/>
  <c r="G279" i="114"/>
  <c r="G278" i="114"/>
  <c r="G277" i="114"/>
  <c r="G275" i="114"/>
  <c r="G274" i="114"/>
  <c r="G273" i="114"/>
  <c r="G272" i="114"/>
  <c r="G271" i="114"/>
  <c r="G270" i="114"/>
  <c r="G269" i="114"/>
  <c r="G268" i="114"/>
  <c r="G267" i="114"/>
  <c r="G266" i="114"/>
  <c r="G265" i="114"/>
  <c r="G264" i="114"/>
  <c r="G263" i="114"/>
  <c r="G262" i="114"/>
  <c r="G261" i="114"/>
  <c r="G260" i="114"/>
  <c r="G259" i="114"/>
  <c r="G258" i="114"/>
  <c r="G257" i="114"/>
  <c r="G256" i="114"/>
  <c r="G255" i="114"/>
  <c r="G254" i="114"/>
  <c r="G253" i="114"/>
  <c r="G252" i="114"/>
  <c r="G251" i="114"/>
  <c r="G250" i="114"/>
  <c r="G249" i="114"/>
  <c r="G248" i="114"/>
  <c r="G247" i="114"/>
  <c r="G246" i="114"/>
  <c r="G242" i="114"/>
  <c r="G240" i="114"/>
  <c r="G239" i="114"/>
  <c r="G238" i="114"/>
  <c r="G237" i="114"/>
  <c r="G236" i="114"/>
  <c r="G235" i="114"/>
  <c r="G234" i="114"/>
  <c r="G233" i="114"/>
  <c r="G232" i="114"/>
  <c r="G231" i="114"/>
  <c r="G230" i="114"/>
  <c r="G229" i="114"/>
  <c r="G228" i="114"/>
  <c r="G227" i="114"/>
  <c r="G226" i="114"/>
  <c r="G225" i="114"/>
  <c r="G224" i="114"/>
  <c r="G223" i="114"/>
  <c r="G222" i="114"/>
  <c r="G221" i="114"/>
  <c r="G220" i="114"/>
  <c r="G219" i="114"/>
  <c r="G218" i="114"/>
  <c r="G217" i="114"/>
  <c r="G216" i="114"/>
  <c r="G215" i="114"/>
  <c r="G214" i="114"/>
  <c r="G213" i="114"/>
  <c r="G212" i="114"/>
  <c r="G211" i="114"/>
  <c r="G210" i="114"/>
  <c r="G209" i="114"/>
  <c r="G208" i="114"/>
  <c r="G204" i="114"/>
  <c r="G202" i="114"/>
  <c r="G201" i="114"/>
  <c r="G200" i="114"/>
  <c r="G199" i="114"/>
  <c r="G198" i="114"/>
  <c r="G197" i="114"/>
  <c r="G196" i="114"/>
  <c r="G195" i="114"/>
  <c r="G194" i="114"/>
  <c r="G193" i="114"/>
  <c r="G192" i="114"/>
  <c r="G191" i="114"/>
  <c r="G190" i="114"/>
  <c r="G189" i="114"/>
  <c r="G188" i="114"/>
  <c r="G187" i="114"/>
  <c r="G186" i="114"/>
  <c r="G185" i="114"/>
  <c r="G184" i="114"/>
  <c r="G183" i="114"/>
  <c r="G182" i="114"/>
  <c r="G178" i="114"/>
  <c r="G177" i="114"/>
  <c r="G175" i="114"/>
  <c r="G174" i="114"/>
  <c r="G173" i="114"/>
  <c r="G167" i="114"/>
  <c r="G166" i="114"/>
  <c r="G165" i="114"/>
  <c r="G164" i="114"/>
  <c r="G163" i="114"/>
  <c r="G162" i="114"/>
  <c r="G161" i="114"/>
  <c r="G157" i="114"/>
  <c r="G156" i="114"/>
  <c r="G154" i="114"/>
  <c r="G153" i="114"/>
  <c r="G152" i="114"/>
  <c r="G151" i="114"/>
  <c r="G150" i="114"/>
  <c r="G149" i="114"/>
  <c r="G148" i="114"/>
  <c r="G147" i="114"/>
  <c r="G146" i="114"/>
  <c r="G145" i="114"/>
  <c r="G144" i="114"/>
  <c r="G143" i="114"/>
  <c r="G142" i="114"/>
  <c r="G138" i="114"/>
  <c r="G137" i="114"/>
  <c r="G136" i="114"/>
  <c r="G135" i="114"/>
  <c r="G134" i="114"/>
  <c r="G130" i="114"/>
  <c r="G129" i="114"/>
  <c r="G127" i="114"/>
  <c r="G126" i="114"/>
  <c r="G125" i="114"/>
  <c r="G124" i="114"/>
  <c r="G118" i="114"/>
  <c r="G117" i="114"/>
  <c r="G116" i="114"/>
  <c r="G115" i="114"/>
  <c r="G114" i="114"/>
  <c r="G113" i="114"/>
  <c r="G112" i="114"/>
  <c r="G111" i="114"/>
  <c r="G110" i="114"/>
  <c r="G109" i="114"/>
  <c r="G108" i="114"/>
  <c r="G107" i="114"/>
  <c r="G106" i="114"/>
  <c r="G102" i="114"/>
  <c r="G101" i="114"/>
  <c r="G100" i="114"/>
  <c r="G98" i="114"/>
  <c r="G97" i="114"/>
  <c r="G96" i="114"/>
  <c r="G95" i="114"/>
  <c r="G94" i="114"/>
  <c r="G93" i="114"/>
  <c r="G92" i="114"/>
  <c r="G91" i="114"/>
  <c r="G90" i="114"/>
  <c r="G89" i="114"/>
  <c r="G88" i="114"/>
  <c r="G87" i="114"/>
  <c r="G86" i="114"/>
  <c r="G85" i="114"/>
  <c r="G84" i="114"/>
  <c r="G83" i="114"/>
  <c r="G82" i="114"/>
  <c r="G81" i="114"/>
  <c r="G80" i="114"/>
  <c r="G76" i="114"/>
  <c r="G74" i="114"/>
  <c r="G73" i="114"/>
  <c r="G72" i="114"/>
  <c r="G71" i="114"/>
  <c r="G70" i="114"/>
  <c r="G69" i="114"/>
  <c r="G68" i="114"/>
  <c r="G67" i="114"/>
  <c r="G66" i="114"/>
  <c r="G65" i="114"/>
  <c r="G64" i="114"/>
  <c r="G63" i="114"/>
  <c r="G62" i="114"/>
  <c r="G61" i="114"/>
  <c r="G60" i="114"/>
  <c r="G59" i="114"/>
  <c r="G58" i="114"/>
  <c r="G57" i="114"/>
  <c r="G56" i="114"/>
  <c r="G55" i="114"/>
  <c r="G54" i="114"/>
  <c r="G50" i="114"/>
  <c r="G48" i="114"/>
  <c r="G47" i="114"/>
  <c r="G46" i="114"/>
  <c r="G45" i="114"/>
  <c r="G44" i="114"/>
  <c r="G43" i="114"/>
  <c r="G42" i="114"/>
  <c r="G41" i="114"/>
  <c r="G40" i="114"/>
  <c r="G39" i="114"/>
  <c r="G38" i="114"/>
  <c r="G37" i="114"/>
  <c r="G36" i="114"/>
  <c r="G35" i="114"/>
  <c r="G34" i="114"/>
  <c r="G33" i="114"/>
  <c r="G32" i="114"/>
  <c r="G31" i="114"/>
  <c r="G30" i="114"/>
  <c r="G26" i="114"/>
  <c r="G24" i="114"/>
  <c r="G23" i="114"/>
  <c r="G22" i="114"/>
  <c r="G21" i="114"/>
  <c r="G20" i="114"/>
  <c r="G19" i="114"/>
  <c r="G18" i="114"/>
  <c r="G17" i="114"/>
  <c r="G16" i="114"/>
  <c r="G15" i="114"/>
  <c r="G14" i="114"/>
  <c r="G13" i="114"/>
  <c r="G12" i="114"/>
  <c r="G11" i="114"/>
  <c r="G10" i="114"/>
  <c r="G9" i="114"/>
  <c r="G8" i="114"/>
  <c r="G5" i="114"/>
  <c r="G4" i="114"/>
  <c r="E845" i="85"/>
  <c r="E897" i="85" s="1"/>
  <c r="E808" i="85"/>
  <c r="E895" i="85" s="1"/>
  <c r="E787" i="85"/>
  <c r="E893" i="85" s="1"/>
  <c r="E690" i="85"/>
  <c r="E887" i="85" s="1"/>
  <c r="E663" i="85"/>
  <c r="E885" i="85" s="1"/>
  <c r="E629" i="85"/>
  <c r="E883" i="85" s="1"/>
  <c r="E594" i="85"/>
  <c r="E881" i="85" s="1"/>
  <c r="E552" i="85"/>
  <c r="E879" i="85" s="1"/>
  <c r="E518" i="85"/>
  <c r="E877" i="85" s="1"/>
  <c r="E481" i="85"/>
  <c r="E875" i="85" s="1"/>
  <c r="E449" i="85"/>
  <c r="E873" i="85" s="1"/>
  <c r="E402" i="85"/>
  <c r="E871" i="85" s="1"/>
  <c r="E356" i="85"/>
  <c r="E869" i="85" s="1"/>
  <c r="E314" i="85"/>
  <c r="E867" i="85" s="1"/>
  <c r="E272" i="85"/>
  <c r="E865" i="85" s="1"/>
  <c r="E238" i="85"/>
  <c r="E863" i="85" s="1"/>
  <c r="E200" i="85"/>
  <c r="E861" i="85" s="1"/>
  <c r="E104" i="85"/>
  <c r="E857" i="85" s="1"/>
  <c r="E75" i="85"/>
  <c r="E855" i="85" s="1"/>
  <c r="E38" i="85"/>
  <c r="E853" i="85" s="1"/>
  <c r="I202" i="78"/>
  <c r="I185" i="78"/>
  <c r="I183" i="78"/>
  <c r="I181" i="78"/>
  <c r="I179" i="78"/>
  <c r="I177" i="78"/>
  <c r="I175" i="78"/>
  <c r="I172" i="78"/>
  <c r="I170" i="78"/>
  <c r="I168" i="78"/>
  <c r="I166" i="78"/>
  <c r="I139" i="78"/>
  <c r="I206" i="78" s="1"/>
  <c r="I74" i="78"/>
  <c r="I72" i="78"/>
  <c r="I70" i="78"/>
  <c r="I68" i="78"/>
  <c r="I66" i="78"/>
  <c r="E147" i="85"/>
  <c r="E859" i="85" s="1"/>
  <c r="E727" i="85"/>
  <c r="E889" i="85" s="1"/>
  <c r="E763" i="85"/>
  <c r="E891" i="85" s="1"/>
  <c r="G371" i="120" l="1"/>
  <c r="G679" i="120" s="1"/>
  <c r="G325" i="117"/>
  <c r="G677" i="117" s="1"/>
  <c r="I194" i="78"/>
  <c r="I208" i="78" s="1"/>
  <c r="I84" i="78"/>
  <c r="I204" i="78" s="1"/>
  <c r="G654" i="114"/>
  <c r="G697" i="114" s="1"/>
  <c r="G654" i="118"/>
  <c r="G697" i="118" s="1"/>
  <c r="G612" i="118"/>
  <c r="G695" i="118" s="1"/>
  <c r="G566" i="118"/>
  <c r="G532" i="118"/>
  <c r="G693" i="118" s="1"/>
  <c r="G491" i="118"/>
  <c r="G691" i="118" s="1"/>
  <c r="G461" i="118"/>
  <c r="G689" i="118" s="1"/>
  <c r="G435" i="118"/>
  <c r="G687" i="118" s="1"/>
  <c r="G409" i="118"/>
  <c r="G685" i="118" s="1"/>
  <c r="G276" i="118"/>
  <c r="G679" i="118" s="1"/>
  <c r="G203" i="118"/>
  <c r="G675" i="118" s="1"/>
  <c r="G176" i="118"/>
  <c r="G673" i="118" s="1"/>
  <c r="G155" i="118"/>
  <c r="G671" i="118" s="1"/>
  <c r="G128" i="118"/>
  <c r="G669" i="118" s="1"/>
  <c r="G99" i="118"/>
  <c r="G667" i="118" s="1"/>
  <c r="G75" i="118"/>
  <c r="G665" i="118" s="1"/>
  <c r="G49" i="118"/>
  <c r="G663" i="118" s="1"/>
  <c r="G25" i="118"/>
  <c r="G661" i="118" s="1"/>
  <c r="G612" i="119"/>
  <c r="G695" i="119" s="1"/>
  <c r="G566" i="119"/>
  <c r="G532" i="119"/>
  <c r="G693" i="119" s="1"/>
  <c r="G491" i="119"/>
  <c r="G691" i="119" s="1"/>
  <c r="G461" i="119"/>
  <c r="G689" i="119" s="1"/>
  <c r="G409" i="119"/>
  <c r="G685" i="119" s="1"/>
  <c r="G276" i="119"/>
  <c r="G679" i="119" s="1"/>
  <c r="G203" i="119"/>
  <c r="G675" i="119" s="1"/>
  <c r="G176" i="119"/>
  <c r="G673" i="119" s="1"/>
  <c r="G155" i="119"/>
  <c r="G671" i="119" s="1"/>
  <c r="G128" i="119"/>
  <c r="G669" i="119" s="1"/>
  <c r="G99" i="119"/>
  <c r="G667" i="119" s="1"/>
  <c r="G75" i="119"/>
  <c r="G665" i="119" s="1"/>
  <c r="G49" i="119"/>
  <c r="G663" i="119" s="1"/>
  <c r="G25" i="119"/>
  <c r="G661" i="119" s="1"/>
  <c r="G177" i="117"/>
  <c r="G669" i="117" s="1"/>
  <c r="G650" i="120"/>
  <c r="G693" i="120" s="1"/>
  <c r="G601" i="120"/>
  <c r="G691" i="120" s="1"/>
  <c r="G558" i="120"/>
  <c r="G528" i="120"/>
  <c r="G689" i="120" s="1"/>
  <c r="G494" i="120"/>
  <c r="G687" i="120" s="1"/>
  <c r="G461" i="120"/>
  <c r="G685" i="120" s="1"/>
  <c r="G435" i="120"/>
  <c r="G683" i="120" s="1"/>
  <c r="G408" i="120"/>
  <c r="G681" i="120" s="1"/>
  <c r="G274" i="120"/>
  <c r="G675" i="120" s="1"/>
  <c r="G203" i="120"/>
  <c r="G671" i="120" s="1"/>
  <c r="G177" i="120"/>
  <c r="G669" i="120" s="1"/>
  <c r="G100" i="120"/>
  <c r="G663" i="120" s="1"/>
  <c r="G75" i="120"/>
  <c r="G661" i="120" s="1"/>
  <c r="G49" i="120"/>
  <c r="G659" i="120" s="1"/>
  <c r="G25" i="120"/>
  <c r="G657" i="120" s="1"/>
  <c r="G650" i="121"/>
  <c r="G693" i="121" s="1"/>
  <c r="G601" i="121"/>
  <c r="G691" i="121" s="1"/>
  <c r="G558" i="121"/>
  <c r="G528" i="121"/>
  <c r="G689" i="121" s="1"/>
  <c r="G494" i="121"/>
  <c r="G687" i="121" s="1"/>
  <c r="G408" i="121"/>
  <c r="G681" i="121" s="1"/>
  <c r="G274" i="121"/>
  <c r="G675" i="121" s="1"/>
  <c r="G203" i="121"/>
  <c r="G671" i="121" s="1"/>
  <c r="G100" i="121"/>
  <c r="G663" i="121" s="1"/>
  <c r="G75" i="121"/>
  <c r="G661" i="121" s="1"/>
  <c r="G49" i="121"/>
  <c r="G659" i="121" s="1"/>
  <c r="G25" i="121"/>
  <c r="G657" i="121" s="1"/>
  <c r="G654" i="119"/>
  <c r="G697" i="119" s="1"/>
  <c r="G371" i="118"/>
  <c r="G683" i="118" s="1"/>
  <c r="G323" i="118"/>
  <c r="G681" i="118" s="1"/>
  <c r="G371" i="119"/>
  <c r="G683" i="119" s="1"/>
  <c r="G323" i="119"/>
  <c r="G681" i="119" s="1"/>
  <c r="G371" i="117"/>
  <c r="G679" i="117" s="1"/>
  <c r="G325" i="120"/>
  <c r="G677" i="120" s="1"/>
  <c r="G371" i="121"/>
  <c r="G679" i="121" s="1"/>
  <c r="G325" i="121"/>
  <c r="G677" i="121" s="1"/>
  <c r="G461" i="121"/>
  <c r="G685" i="121" s="1"/>
  <c r="G177" i="121"/>
  <c r="G669" i="121" s="1"/>
  <c r="G435" i="119"/>
  <c r="G687" i="119" s="1"/>
  <c r="G435" i="121"/>
  <c r="G683" i="121" s="1"/>
  <c r="G156" i="120"/>
  <c r="G667" i="120" s="1"/>
  <c r="G129" i="120"/>
  <c r="G665" i="120" s="1"/>
  <c r="G156" i="121"/>
  <c r="G667" i="121" s="1"/>
  <c r="G129" i="121"/>
  <c r="G665" i="121" s="1"/>
  <c r="G241" i="118"/>
  <c r="G677" i="118" s="1"/>
  <c r="G241" i="119"/>
  <c r="G677" i="119" s="1"/>
  <c r="G241" i="120"/>
  <c r="G673" i="120" s="1"/>
  <c r="G241" i="121"/>
  <c r="G673" i="121" s="1"/>
  <c r="G650" i="117"/>
  <c r="G693" i="117" s="1"/>
  <c r="G601" i="117"/>
  <c r="G691" i="117" s="1"/>
  <c r="G558" i="117"/>
  <c r="G528" i="117"/>
  <c r="G689" i="117" s="1"/>
  <c r="G494" i="117"/>
  <c r="G687" i="117" s="1"/>
  <c r="G461" i="117"/>
  <c r="G685" i="117" s="1"/>
  <c r="G435" i="117"/>
  <c r="G683" i="117" s="1"/>
  <c r="G408" i="117"/>
  <c r="G681" i="117" s="1"/>
  <c r="G274" i="117"/>
  <c r="G675" i="117" s="1"/>
  <c r="G241" i="117"/>
  <c r="G673" i="117" s="1"/>
  <c r="G203" i="117"/>
  <c r="G671" i="117" s="1"/>
  <c r="G156" i="117"/>
  <c r="G667" i="117" s="1"/>
  <c r="G129" i="117"/>
  <c r="G665" i="117" s="1"/>
  <c r="G100" i="117"/>
  <c r="G663" i="117" s="1"/>
  <c r="G75" i="117"/>
  <c r="G661" i="117" s="1"/>
  <c r="G49" i="117"/>
  <c r="G659" i="117" s="1"/>
  <c r="G25" i="117"/>
  <c r="G657" i="117" s="1"/>
  <c r="G612" i="114"/>
  <c r="G695" i="114" s="1"/>
  <c r="G25" i="114"/>
  <c r="G661" i="114" s="1"/>
  <c r="G566" i="114"/>
  <c r="G241" i="114"/>
  <c r="G677" i="114" s="1"/>
  <c r="G532" i="114"/>
  <c r="G693" i="114" s="1"/>
  <c r="G276" i="114"/>
  <c r="G679" i="114" s="1"/>
  <c r="G461" i="114"/>
  <c r="G689" i="114" s="1"/>
  <c r="G155" i="114"/>
  <c r="G671" i="114" s="1"/>
  <c r="G176" i="114"/>
  <c r="G673" i="114" s="1"/>
  <c r="G203" i="114"/>
  <c r="G675" i="114" s="1"/>
  <c r="G371" i="114"/>
  <c r="G683" i="114" s="1"/>
  <c r="G435" i="114"/>
  <c r="G687" i="114" s="1"/>
  <c r="G491" i="114"/>
  <c r="G691" i="114" s="1"/>
  <c r="G128" i="114"/>
  <c r="G669" i="114" s="1"/>
  <c r="G323" i="114"/>
  <c r="G681" i="114" s="1"/>
  <c r="G49" i="114"/>
  <c r="G663" i="114" s="1"/>
  <c r="G99" i="114"/>
  <c r="G667" i="114" s="1"/>
  <c r="G409" i="114"/>
  <c r="G685" i="114" s="1"/>
  <c r="G75" i="114"/>
  <c r="G665" i="114" s="1"/>
  <c r="E902" i="85"/>
  <c r="I249" i="78" l="1"/>
  <c r="G699" i="118"/>
  <c r="G699" i="119"/>
  <c r="J11" i="73" s="1"/>
  <c r="J13" i="73" s="1"/>
  <c r="J15" i="73" s="1"/>
  <c r="G695" i="120"/>
  <c r="G695" i="121"/>
  <c r="J5" i="73" s="1"/>
  <c r="G695" i="117"/>
  <c r="G699" i="114"/>
  <c r="E1570" i="69"/>
  <c r="E1566" i="69"/>
  <c r="E1564" i="69"/>
  <c r="E1562" i="69"/>
  <c r="E1560" i="69"/>
  <c r="E1558" i="69"/>
  <c r="E1556" i="69"/>
  <c r="E1554" i="69"/>
  <c r="E1552" i="69"/>
  <c r="E1550" i="69"/>
  <c r="E1548" i="69"/>
  <c r="E1546" i="69"/>
  <c r="E1535" i="69"/>
  <c r="E1533" i="69"/>
  <c r="E1531" i="69"/>
  <c r="E1529" i="69"/>
  <c r="E1525" i="69"/>
  <c r="E1523" i="69"/>
  <c r="E1519" i="69"/>
  <c r="E1513" i="69"/>
  <c r="E1511" i="69"/>
  <c r="E1509" i="69"/>
  <c r="E1507" i="69"/>
  <c r="E1505" i="69"/>
  <c r="E1503" i="69"/>
  <c r="E1473" i="69"/>
  <c r="E1471" i="69"/>
  <c r="E1469" i="69"/>
  <c r="E1467" i="69"/>
  <c r="E1465" i="69"/>
  <c r="E1463" i="69"/>
  <c r="E1461" i="69"/>
  <c r="E1459" i="69"/>
  <c r="E1457" i="69"/>
  <c r="E1455" i="69"/>
  <c r="E1453" i="69"/>
  <c r="E1451" i="69"/>
  <c r="E1449" i="69"/>
  <c r="E1447" i="69"/>
  <c r="E1419" i="69"/>
  <c r="E1417" i="69"/>
  <c r="E1415" i="69"/>
  <c r="E1413" i="69"/>
  <c r="E1411" i="69"/>
  <c r="E1407" i="69"/>
  <c r="E1405" i="69"/>
  <c r="E1403" i="69"/>
  <c r="E1401" i="69"/>
  <c r="E1399" i="69"/>
  <c r="E1397" i="69"/>
  <c r="E1384" i="69"/>
  <c r="E1382" i="69"/>
  <c r="E1380" i="69"/>
  <c r="E1378" i="69"/>
  <c r="E1376" i="69"/>
  <c r="E1374" i="69"/>
  <c r="E1372" i="69"/>
  <c r="E1370" i="69"/>
  <c r="E1368" i="69"/>
  <c r="E1366" i="69"/>
  <c r="E1364" i="69"/>
  <c r="E1362" i="69"/>
  <c r="E1360" i="69"/>
  <c r="E1358" i="69"/>
  <c r="E1356" i="69"/>
  <c r="E1354" i="69"/>
  <c r="E1330" i="69"/>
  <c r="E1328" i="69"/>
  <c r="E1326" i="69"/>
  <c r="E1324" i="69"/>
  <c r="E1322" i="69"/>
  <c r="E1320" i="69"/>
  <c r="E1318" i="69"/>
  <c r="E1316" i="69"/>
  <c r="E1314" i="69"/>
  <c r="E1312" i="69"/>
  <c r="E1310" i="69"/>
  <c r="E1285" i="69"/>
  <c r="E1283" i="69"/>
  <c r="E1281" i="69"/>
  <c r="E1279" i="69"/>
  <c r="E1277" i="69"/>
  <c r="E1275" i="69"/>
  <c r="E1273" i="69"/>
  <c r="E1271" i="69"/>
  <c r="E1269" i="69"/>
  <c r="E1267" i="69"/>
  <c r="E1265" i="69"/>
  <c r="E1263" i="69"/>
  <c r="E1261" i="69"/>
  <c r="E1259" i="69"/>
  <c r="E1246" i="69"/>
  <c r="E1244" i="69"/>
  <c r="E1242" i="69"/>
  <c r="E1240" i="69"/>
  <c r="E1238" i="69"/>
  <c r="E1236" i="69"/>
  <c r="E1234" i="69"/>
  <c r="E1232" i="69"/>
  <c r="E1230" i="69"/>
  <c r="E1228" i="69"/>
  <c r="E1226" i="69"/>
  <c r="E1224" i="69"/>
  <c r="E1222" i="69"/>
  <c r="E1220" i="69"/>
  <c r="E1218" i="69"/>
  <c r="E1216" i="69"/>
  <c r="E1214" i="69"/>
  <c r="E1212" i="69"/>
  <c r="E1210" i="69"/>
  <c r="E1208" i="69"/>
  <c r="E1206" i="69"/>
  <c r="E589" i="69"/>
  <c r="E587" i="69"/>
  <c r="E585" i="69"/>
  <c r="E583" i="69"/>
  <c r="E581" i="69"/>
  <c r="E579" i="69"/>
  <c r="E577" i="69"/>
  <c r="E575" i="69"/>
  <c r="E573" i="69"/>
  <c r="E571" i="69"/>
  <c r="E569" i="69"/>
  <c r="E567" i="69"/>
  <c r="E565" i="69"/>
  <c r="E563" i="69"/>
  <c r="E561" i="69"/>
  <c r="E559" i="69"/>
  <c r="E557" i="69"/>
  <c r="E555" i="69"/>
  <c r="E553" i="69"/>
  <c r="E551" i="69"/>
  <c r="E549" i="69"/>
  <c r="E547" i="69"/>
  <c r="E545" i="69"/>
  <c r="E543" i="69"/>
  <c r="E541" i="69"/>
  <c r="E539" i="69"/>
  <c r="E537" i="69"/>
  <c r="E535" i="69"/>
  <c r="E533" i="69"/>
  <c r="E531" i="69"/>
  <c r="E529" i="69"/>
  <c r="E527" i="69"/>
  <c r="E525" i="69"/>
  <c r="E523" i="69"/>
  <c r="E521" i="69"/>
  <c r="E519" i="69"/>
  <c r="E515" i="69"/>
  <c r="E513" i="69"/>
  <c r="E511" i="69"/>
  <c r="E509" i="69"/>
  <c r="E507" i="69"/>
  <c r="E505" i="69"/>
  <c r="E503" i="69"/>
  <c r="E501" i="69"/>
  <c r="E499" i="69"/>
  <c r="E497" i="69"/>
  <c r="E495" i="69"/>
  <c r="E493" i="69"/>
  <c r="E491" i="69"/>
  <c r="E489" i="69"/>
  <c r="E487" i="69"/>
  <c r="E485" i="69"/>
  <c r="E483" i="69"/>
  <c r="E481" i="69"/>
  <c r="E479" i="69"/>
  <c r="E477" i="69"/>
  <c r="E475" i="69"/>
  <c r="E473" i="69"/>
  <c r="E471" i="69"/>
  <c r="E469" i="69"/>
  <c r="E467" i="69"/>
  <c r="E465" i="69"/>
  <c r="E463" i="69"/>
  <c r="E461" i="69"/>
  <c r="E459" i="69"/>
  <c r="E457" i="69"/>
  <c r="E455" i="69"/>
  <c r="E453" i="69"/>
  <c r="E451" i="69"/>
  <c r="E449" i="69"/>
  <c r="E447" i="69"/>
  <c r="E445" i="69"/>
  <c r="E443" i="69"/>
  <c r="E441" i="69"/>
  <c r="E439" i="69"/>
  <c r="E437" i="69"/>
  <c r="E435" i="69"/>
  <c r="E433" i="69"/>
  <c r="E431" i="69"/>
  <c r="E429" i="69"/>
  <c r="E427" i="69"/>
  <c r="E425" i="69"/>
  <c r="E423" i="69"/>
  <c r="E421" i="69"/>
  <c r="E419" i="69"/>
  <c r="E417" i="69"/>
  <c r="E415" i="69"/>
  <c r="E413" i="69"/>
  <c r="E411" i="69"/>
  <c r="E409" i="69"/>
  <c r="E407" i="69"/>
  <c r="E405" i="69"/>
  <c r="E403" i="69"/>
  <c r="E401" i="69"/>
  <c r="E399" i="69"/>
  <c r="E397" i="69"/>
  <c r="E395" i="69"/>
  <c r="E393" i="69"/>
  <c r="E391" i="69"/>
  <c r="E389" i="69"/>
  <c r="E387" i="69"/>
  <c r="E385" i="69"/>
  <c r="E383" i="69"/>
  <c r="E381" i="69"/>
  <c r="E379" i="69"/>
  <c r="E377" i="69"/>
  <c r="E375" i="69"/>
  <c r="E373" i="69"/>
  <c r="E371" i="69"/>
  <c r="E369" i="69"/>
  <c r="E367" i="69"/>
  <c r="E365" i="69"/>
  <c r="E363" i="69"/>
  <c r="E361" i="69"/>
  <c r="E359" i="69"/>
  <c r="E357" i="69"/>
  <c r="E355" i="69"/>
  <c r="E353" i="69"/>
  <c r="E351" i="69"/>
  <c r="E349" i="69"/>
  <c r="E347" i="69"/>
  <c r="E345" i="69"/>
  <c r="E343" i="69"/>
  <c r="E341" i="69"/>
  <c r="E339" i="69"/>
  <c r="E337" i="69"/>
  <c r="E335" i="69"/>
  <c r="E333" i="69"/>
  <c r="E331" i="69"/>
  <c r="E329" i="69"/>
  <c r="E327" i="69"/>
  <c r="E325" i="69"/>
  <c r="E323" i="69"/>
  <c r="E321" i="69"/>
  <c r="E319" i="69"/>
  <c r="E317" i="69"/>
  <c r="E315" i="69"/>
  <c r="E307" i="69"/>
  <c r="E305" i="69"/>
  <c r="E303" i="69"/>
  <c r="E301" i="69"/>
  <c r="E299" i="69"/>
  <c r="E297" i="69"/>
  <c r="E295" i="69"/>
  <c r="E293" i="69"/>
  <c r="E289" i="69"/>
  <c r="E287" i="69"/>
  <c r="E285" i="69"/>
  <c r="E283" i="69"/>
  <c r="E281" i="69"/>
  <c r="E279" i="69"/>
  <c r="E277" i="69"/>
  <c r="E275" i="69"/>
  <c r="E273" i="69"/>
  <c r="E271" i="69"/>
  <c r="E269" i="69"/>
  <c r="E267" i="69"/>
  <c r="E265" i="69"/>
  <c r="E263" i="69"/>
  <c r="E261" i="69"/>
  <c r="E259" i="69"/>
  <c r="E257" i="69"/>
  <c r="E255" i="69"/>
  <c r="E253" i="69"/>
  <c r="E251" i="69"/>
  <c r="E249" i="69"/>
  <c r="E247" i="69"/>
  <c r="E245" i="69"/>
  <c r="E243" i="69"/>
  <c r="E241" i="69"/>
  <c r="E239" i="69"/>
  <c r="E237" i="69"/>
  <c r="E235" i="69"/>
  <c r="E233" i="69"/>
  <c r="E231" i="69"/>
  <c r="E229" i="69"/>
  <c r="E227" i="69"/>
  <c r="E225" i="69"/>
  <c r="E223" i="69"/>
  <c r="E221" i="69"/>
  <c r="E219" i="69"/>
  <c r="E217" i="69"/>
  <c r="E215" i="69"/>
  <c r="E213" i="69"/>
  <c r="E211" i="69"/>
  <c r="E209" i="69"/>
  <c r="E207" i="69"/>
  <c r="E205" i="69"/>
  <c r="E203" i="69"/>
  <c r="E201" i="69"/>
  <c r="E199" i="69"/>
  <c r="E197" i="69"/>
  <c r="E195" i="69"/>
  <c r="E193" i="69"/>
  <c r="E191" i="69"/>
  <c r="E189" i="69"/>
  <c r="E187" i="69"/>
  <c r="E185" i="69"/>
  <c r="E183" i="69"/>
  <c r="E181" i="69"/>
  <c r="E179" i="69"/>
  <c r="E177" i="69"/>
  <c r="E175" i="69"/>
  <c r="E173" i="69"/>
  <c r="E171" i="69"/>
  <c r="E169" i="69"/>
  <c r="E167" i="69"/>
  <c r="E165" i="69"/>
  <c r="E163" i="69"/>
  <c r="E161" i="69"/>
  <c r="E159" i="69"/>
  <c r="E157" i="69"/>
  <c r="E155" i="69"/>
  <c r="E153" i="69"/>
  <c r="E151" i="69"/>
  <c r="E149" i="69"/>
  <c r="E147" i="69"/>
  <c r="E145" i="69"/>
  <c r="E143" i="69"/>
  <c r="E141" i="69"/>
  <c r="E139" i="69"/>
  <c r="E137" i="69"/>
  <c r="E135" i="69"/>
  <c r="E133" i="69"/>
  <c r="E131" i="69"/>
  <c r="E129" i="69"/>
  <c r="E127" i="69"/>
  <c r="E125" i="69"/>
  <c r="E123" i="69"/>
  <c r="E121" i="69"/>
  <c r="E119" i="69"/>
  <c r="E117" i="69"/>
  <c r="E115" i="69"/>
  <c r="E113" i="69"/>
  <c r="E111" i="69"/>
  <c r="E109" i="69"/>
  <c r="E107" i="69"/>
  <c r="E105" i="69"/>
  <c r="E103" i="69"/>
  <c r="E101" i="69"/>
  <c r="E99" i="69"/>
  <c r="E97" i="69"/>
  <c r="E95" i="69"/>
  <c r="E87" i="69"/>
  <c r="E85" i="69"/>
  <c r="E83" i="69"/>
  <c r="E81" i="69"/>
  <c r="E79" i="69"/>
  <c r="E77" i="69"/>
  <c r="E75" i="69"/>
  <c r="E73" i="69"/>
  <c r="E71" i="69"/>
  <c r="E69" i="69"/>
  <c r="E67" i="69"/>
  <c r="E65" i="69"/>
  <c r="E63" i="69"/>
  <c r="E61" i="69"/>
  <c r="E59" i="69"/>
  <c r="E57" i="69"/>
  <c r="E55" i="69"/>
  <c r="E53" i="69"/>
  <c r="E51" i="69"/>
  <c r="E49" i="69"/>
  <c r="E47" i="69"/>
  <c r="E45" i="69"/>
  <c r="E43" i="69"/>
  <c r="E41" i="69"/>
  <c r="E39" i="69"/>
  <c r="E37" i="69"/>
  <c r="E35" i="69"/>
  <c r="E33" i="69"/>
  <c r="E31" i="69"/>
  <c r="E27" i="69"/>
  <c r="E25" i="69"/>
  <c r="E23" i="69"/>
  <c r="E21" i="69"/>
  <c r="E19" i="69"/>
  <c r="E17" i="69"/>
  <c r="E15" i="69"/>
  <c r="E13" i="69"/>
  <c r="E11" i="69"/>
  <c r="J9" i="73" l="1"/>
  <c r="J7" i="73"/>
  <c r="J38" i="73" l="1"/>
  <c r="J45" i="73" s="1"/>
</calcChain>
</file>

<file path=xl/sharedStrings.xml><?xml version="1.0" encoding="utf-8"?>
<sst xmlns="http://schemas.openxmlformats.org/spreadsheetml/2006/main" count="4466" uniqueCount="960">
  <si>
    <t>Περιγραφή</t>
  </si>
  <si>
    <t>Μονάδα</t>
  </si>
  <si>
    <t>Τιμή</t>
  </si>
  <si>
    <t>Ποσότητα</t>
  </si>
  <si>
    <t>Μονάδος (€)</t>
  </si>
  <si>
    <t>Ποσό (€)</t>
  </si>
  <si>
    <t>Σε Σύνολο Δελτίου</t>
  </si>
  <si>
    <t>Σύνολο Δελτίου</t>
  </si>
  <si>
    <t>Σε Γενική Περίληψη</t>
  </si>
  <si>
    <t>Α</t>
  </si>
  <si>
    <t>Β</t>
  </si>
  <si>
    <t>Γ</t>
  </si>
  <si>
    <t>Δ</t>
  </si>
  <si>
    <t>Ε</t>
  </si>
  <si>
    <t>Ζ</t>
  </si>
  <si>
    <t>Η</t>
  </si>
  <si>
    <t>Θ</t>
  </si>
  <si>
    <t>Ι</t>
  </si>
  <si>
    <t>Κ</t>
  </si>
  <si>
    <t>Λ</t>
  </si>
  <si>
    <t>m</t>
  </si>
  <si>
    <t>m2</t>
  </si>
  <si>
    <t>Σε πλάκα οροφής ισογείου</t>
  </si>
  <si>
    <t>Σε κολώνες και τοιχία ισογείου</t>
  </si>
  <si>
    <t>Μονώσεις</t>
  </si>
  <si>
    <t>Ξυλότυπος συνηθισμένος σε οπλισμένο σκυρόδεμα</t>
  </si>
  <si>
    <t>Μ</t>
  </si>
  <si>
    <t>Ν</t>
  </si>
  <si>
    <t>Ξ</t>
  </si>
  <si>
    <t>Ο</t>
  </si>
  <si>
    <t>Π</t>
  </si>
  <si>
    <t>Ρ</t>
  </si>
  <si>
    <t>Ξυλότυποι</t>
  </si>
  <si>
    <t>Κάτω από πέδιλο φρεατίου ανελκυστήρα</t>
  </si>
  <si>
    <t xml:space="preserve">Κάτω από γενική κοιτόστωση υπογείου </t>
  </si>
  <si>
    <t xml:space="preserve">Σε κολώνες και τοιχία υπογείου </t>
  </si>
  <si>
    <t>Σε τοίχους πισίνας,υπερχείλισης και μηχανοστασίου σε penthouse</t>
  </si>
  <si>
    <t>Σε πλάκα οροφής μηχανοστασίου σε penthouse</t>
  </si>
  <si>
    <t>Σ</t>
  </si>
  <si>
    <t>Τ</t>
  </si>
  <si>
    <t>Σε τοίχους ανθώνων σε χώρο πισίνας στο penthouse (προνοητική ποσότητα)</t>
  </si>
  <si>
    <t>Σε κολώνες και τοιχία 1ου ορόφου</t>
  </si>
  <si>
    <t>Σε κολώνες και τοιχία 2ου ορόφου</t>
  </si>
  <si>
    <t>Υ</t>
  </si>
  <si>
    <t>Σε κολώνες και τοιχία 3ου ορόφου και κλιμακοστασίου οροφής</t>
  </si>
  <si>
    <t>Φ</t>
  </si>
  <si>
    <t xml:space="preserve">Σε στηθαίο πλάκας οροφής 2ου ορόφου διαστάσεων 200 Χ 200mm </t>
  </si>
  <si>
    <t xml:space="preserve">Σε στηθαίο πλάκας οροφής 2ου ορόφου διαστάσεων 175 Χ 170mm </t>
  </si>
  <si>
    <t>Σε κάθετη επιφάνεια πεδίλου φρεατίου ανελκυστήρα πάχους 700mm</t>
  </si>
  <si>
    <t>Ξυλότυπος fair face σε οπλισμένο σκυρόδεμα (μη εμφανές)</t>
  </si>
  <si>
    <t>Σε πλάκα οροφής 1ου ορόφου</t>
  </si>
  <si>
    <t>Σε πλάκα οροφής 2ου ορόφου</t>
  </si>
  <si>
    <t>Σε πλάκα οροφής 3ου ορόφου</t>
  </si>
  <si>
    <t>Σε πλάκα οροφής κλιμακοστασίου και ανελκυστήρα</t>
  </si>
  <si>
    <t>Σε τοιχία αντιστήριξης υπογείου RW1 (Μόνο από την μία πλευρά)</t>
  </si>
  <si>
    <t>Σε τοίχους RW2 (Μόνο από την μία πλευρά)</t>
  </si>
  <si>
    <t>Σε δοκούς πλάκας οροφής ισογείου (οριζόντιες &amp; κάθετες επιφάνειες)</t>
  </si>
  <si>
    <t>Σε δοκούς πλάκας οροφής 1ου ορόφου (οριζόντιες &amp; κάθετες επιφάνειες)</t>
  </si>
  <si>
    <t>Σε δοκούς πλάκας οροφής 2ου ορόφου (οριζόντιες &amp; κάθετες επιφάνειες)</t>
  </si>
  <si>
    <t>Σε δοκούς πλάκας οροφής 3ου ορόφου και κλιμακοστασίου (οριζόντιες &amp; κάθετες επιφάνειες)</t>
  </si>
  <si>
    <t>Σε άκρο πλάκας υπογείου πάχους 300mm</t>
  </si>
  <si>
    <t>Σε άκρο πλάκας υπογείου πάχους 350mm</t>
  </si>
  <si>
    <t>Σε ανοίγματα πλάκας οροφής υπογείου πάχους 350mm</t>
  </si>
  <si>
    <t>Σε ανοίγματα πλάκας οροφής υπογείου πάχους 300mm</t>
  </si>
  <si>
    <t>Σε άκρο πλάκας ισογείου πάχους 300mm</t>
  </si>
  <si>
    <t>Σε άκρο πλάκας ισογείου πάχους 200mm</t>
  </si>
  <si>
    <t>Σε ανοίγματα πλάκας οροφής ισογείου πάχους 300mm</t>
  </si>
  <si>
    <t>Σε ανοίγματα πλάκας οροφής ισογείου πάχους 200mm</t>
  </si>
  <si>
    <t>Σε άκρο πλάκας 1ου ορόφου πάχους 300mm</t>
  </si>
  <si>
    <t>Σε άκρο πλάκας 1ου ορόφου πάχους 200mm</t>
  </si>
  <si>
    <t>Σε ανοίγματα πλάκας οροφής 1ου ορόφου πάχους 300mm</t>
  </si>
  <si>
    <t>Σε ανοίγματα πλάκας οροφής 1ου ορόφου πάχους 200mm</t>
  </si>
  <si>
    <t>Σε άκρο πλάκας 2ου ορόφου πάχους 200mm</t>
  </si>
  <si>
    <t>Σε άκρο πλάκας 2ου ορόφου πάχους 250mm</t>
  </si>
  <si>
    <t>Σε άκρο πλάκας 2ου ορόφου πάχους 300mm</t>
  </si>
  <si>
    <t>Σε άκρο πλάκας 2ου ορόφου πάχους 350mm</t>
  </si>
  <si>
    <t>Σε ανοίγματα πλάκας οροφής 2ου ορόφου πάχους 200mm</t>
  </si>
  <si>
    <t>Σε ανοίγματα πλάκας οροφής 2ου ορόφου πάχους 300mm</t>
  </si>
  <si>
    <t>Σε ανοίγματα πλάκας οροφής 2ου ορόφου πάχους 350mm</t>
  </si>
  <si>
    <t>Σε άκρο πλάκας 3ου ορόφου πάχους 330mm</t>
  </si>
  <si>
    <t>Σε άκρο πλάκας κλιμακοστασίου και ανελκυστήρα πάχους 200mm</t>
  </si>
  <si>
    <t>Σε άκρο πλάκας κλιμακοστασίου και ανελκυστήρα πάχους 250mm</t>
  </si>
  <si>
    <t>Σε ανοίγματα πλάκας οροφής κλιμακοστασίου πάχους 200mm</t>
  </si>
  <si>
    <t>Σε upstand πλάκας οροφής ισογείου για στήριξη υαλοστασίου πλάτους 300mm και ύψους μέχρι 350mm ως Σχέδιο PPA S-3-R-A-01-10,Detail 1</t>
  </si>
  <si>
    <t>Σε upstand πλάκας οροφής 1ου ορόφου για στήριξη υαλοστασίου πλάτους 300mm και ύψους μέχρι 350mm ως Σχέδιο PPA S-3-R-A-02-12,Detail 1</t>
  </si>
  <si>
    <t xml:space="preserve">Σε upstand πλάκας οροφής μηχανοστασίου σε penthouse για στήριξη υαλοστασίου πλάτους 200mm και ύψους  150mm </t>
  </si>
  <si>
    <t xml:space="preserve">Σε στηθαίο 3ου ορόφου ύψους 1320mm και πάχους 150mm </t>
  </si>
  <si>
    <t>Σε βάση τοίχων ανθώνων σε χώρο πισίνας στο penthouse ύψους 150mm (προνοητική ποσότητα)</t>
  </si>
  <si>
    <t>Σε κοιλιά και πλατύσκαλα σκάλας υπογείου  (κλιμακοστάσιο)</t>
  </si>
  <si>
    <t>Σε κοιλιά και πλατύσκαλα σκάλας ισογείου (κλιμακοστάσιο)</t>
  </si>
  <si>
    <t>Σε κοιλιά και πλατύσκαλα σκάλας 1ου ορόφου (κλιμακοστάσιο)</t>
  </si>
  <si>
    <t>Σε κοιλιά και πλατύσκαλα σκάλας 2ου ορόφου (κλιμακοστάσιο)</t>
  </si>
  <si>
    <t>Σε αντιβαθμίδες ύψους μέχρι 180mm υπογείου (κλιμακοστάσιο)</t>
  </si>
  <si>
    <t>Σε αντιβαθμίδες ύψους μέχρι 180mm ισογείου (κλιμακοστάσιο)</t>
  </si>
  <si>
    <t>Σε αντιβαθμίδες ύψους μέχρι 180mm 1ου ορόφου (κλιμακοστάσιο)</t>
  </si>
  <si>
    <t>Σε αντιβαθμίδες ύψους μέχρι 180mm 2ου ορόφου (κλιμακοστάσιο)</t>
  </si>
  <si>
    <t>Σε πλαινά σκαλοπατιών σκάλας υπογείου (κλιμακοστάσιο)</t>
  </si>
  <si>
    <t>Σε πλαινά σκαλοπατιών σκάλας ισογείου (κλιμακοστάσιο)</t>
  </si>
  <si>
    <t>Σε πλαινά σκαλοπατιών σκάλας 1ου ορόφου (κλιμακοστάσιο)</t>
  </si>
  <si>
    <t>Σε πλαινά σκαλοπατιών σκάλας 2ου ορόφου (κλιμακοστάσιο)</t>
  </si>
  <si>
    <t>Σε άκρο πλάκας πλατυσκάλου υπογείου πάχους 200mm</t>
  </si>
  <si>
    <t>Σε άκρο πλάκας πλατυσκάλου ισογείου πάχους 200mm</t>
  </si>
  <si>
    <t>Σε άκρο πλάκας πλατυσκάλου 1ου ορόφου πάχους 200mm</t>
  </si>
  <si>
    <t>Σε άκρο πλάκας πλατυσκάλου 2ου ορόφου πάχους 200mm</t>
  </si>
  <si>
    <t>Σε πάτωμα πισίνας,υπερχείλισης και μηχανοστασίου ύψους 250mm σε penthouse</t>
  </si>
  <si>
    <t>Σε τοίχους υπερχείλισης πισίνας, σε penthouse ύψους 250mm</t>
  </si>
  <si>
    <t>Σε κοιλιά σκαλοπατιών πισίνας (εντός και εκτός) σε penthouse</t>
  </si>
  <si>
    <t>Σε αντιβαθμίδες σκαλοπατιών πισίνας ύψους μέχρι 150mm (εντός και εκτός) σε penthouse</t>
  </si>
  <si>
    <t>Ξυλότυπος fair face σε οπλισμένο σκυρόδεμα (εμφανές)</t>
  </si>
  <si>
    <t xml:space="preserve">Σε πλάκα οροφής υπογείου </t>
  </si>
  <si>
    <t>Σε τοίχους αντιστήριξης υπογείου RW1 (Μόνο από την μία πλευρά)</t>
  </si>
  <si>
    <t>Σε δοκούς πλάκας οροφής υπογείου  (οριζόντιες &amp; κάθετες επιφάνειες)</t>
  </si>
  <si>
    <t>Οπλισμοί</t>
  </si>
  <si>
    <t>Οπλισμός σε χυτό σκυρόδεμα από σίδηρο υψηλής αντοχής B500C</t>
  </si>
  <si>
    <t>Σε κοιτόστρωση υπογείου περιλαμβανομένων θεμελιοδοκών</t>
  </si>
  <si>
    <t>kg</t>
  </si>
  <si>
    <t>Σε τοίχο αντιστήριξης RW1</t>
  </si>
  <si>
    <t>Σε τοίχο αντιστήριξης RW2</t>
  </si>
  <si>
    <t>Σε κολώνες και τοιχία υπογείου</t>
  </si>
  <si>
    <t>Σε πλάκα και δοκούς οροφής υπογείου</t>
  </si>
  <si>
    <t>Σε πλάκα και δοκούς οροφής ισογείου</t>
  </si>
  <si>
    <t>Σε πλάκα και δοκούς οροφής 1ου ορόφου</t>
  </si>
  <si>
    <t>Σε πλάκα και δοκούς οροφής 2ου ορόφου περιλαμβανομένης της πισίνας</t>
  </si>
  <si>
    <t>Σε κολώνες και τοιχία οροφής</t>
  </si>
  <si>
    <t>Σε πλάκα και δοκούς οροφής ορόφου</t>
  </si>
  <si>
    <t>Σκάλες από υπόγειο μέχρι την οροφή</t>
  </si>
  <si>
    <t>Πολυθίνη 0.3mm βαρετού τύπου με 300mm πλάτος υπερκαλύψεις (προνοητικές ποσότητες)</t>
  </si>
  <si>
    <t xml:space="preserve">Σε κάθετη επιφάνεια πεδίλου και τοίχων φρεατίου ανελκυστήρα </t>
  </si>
  <si>
    <t>Σε κάθετη επιφάνεια πεδίλου και τοίχων RW2</t>
  </si>
  <si>
    <t>Σε κάθετη επιφάνεια γενικής κοιτόστρωσης και τοίχων RW1</t>
  </si>
  <si>
    <t>Σε οριζόντιες επιφάνειες πεδίλων τοίχου RW2</t>
  </si>
  <si>
    <t>Σε οριζόντιες επιφάνειες γενικής κοιτόστρωσης υπογείου</t>
  </si>
  <si>
    <t>Κάτω από ράμπα προς υπόγειο</t>
  </si>
  <si>
    <t>Θερμομόνωση: μπλέ εξηλασμένη πολυστερίνη έγκρισης Επιβλέποντα Μηχανικού (προνοητική ποσότητα)</t>
  </si>
  <si>
    <t>80mm πάχος θερμομόνωση σε στοιχεία σκυροδέματος</t>
  </si>
  <si>
    <t xml:space="preserve">Περιμετρικά τοίχων υπογείου </t>
  </si>
  <si>
    <t>Περιμετρικά τοίχων RW2</t>
  </si>
  <si>
    <t>Διογκούμενο κορδόνι μπετονίτη (Waterstop) Sikaswell</t>
  </si>
  <si>
    <t>Περιμετρικά τοίχων φρεατίου ανελκυστήρα</t>
  </si>
  <si>
    <t>Περιμετρικά τοίχων ράμπας προς υπόγειο</t>
  </si>
  <si>
    <t>Περιμετρικά τοίχων πισίνας και μηχνοστασίου σε penthouse</t>
  </si>
  <si>
    <t>Σε κάθετες και οριζόνιες επιφάνειες γενικής κοιτόστρωσης υπογείου</t>
  </si>
  <si>
    <t>Σε κάθετη επιφάνεια τοίχων υπογείου RW1</t>
  </si>
  <si>
    <t>Σε κάθετη επιφάνεια πεδίλου και τοίχων φρεατίου ανελκυστήρα</t>
  </si>
  <si>
    <t>Κάτω από πέδιλο τοίχων RW2</t>
  </si>
  <si>
    <t>Σε κάθετη επιφάνεια πεδίλου τοίχων RW2</t>
  </si>
  <si>
    <t>Σε οριζόντια επιφάνεια πεδίλου τοίχων RW2</t>
  </si>
  <si>
    <t>Σε κάθετη επιφάνεια τοίχων RW2</t>
  </si>
  <si>
    <t>Κάτω από πέδιλο πισίνας και μηχανοστασίου σε penthouse</t>
  </si>
  <si>
    <t>Σε κάθετη επιφάνεια πεδίλου πισίνας και μηχανοστασίου σε penthouse ύψους 250mm</t>
  </si>
  <si>
    <t>Προμήθεια και τοποθέτηση ειδικών μπαλών συμπεριλαμβανομένων των ειδικών στηρίξεων τους σε πλάκες με κενά (Void Slabs),όλα σύμφωνα με τα σχέδια,λεπτομέρειες και τεχνικές προδιαγραφές</t>
  </si>
  <si>
    <t>Ειδικές μπάλες τύπου COBIAX CBCM S200 συμπεριλαμβανομένων ειδικών στηρίξεων σε πλάκες 350mm πάχος σύμφωνα με τα Σχέδια PPA_S-1-R-A-04-15 &amp; PPA_S-3-R-A-04-16</t>
  </si>
  <si>
    <t>Ισχυρή τσιμεντοκονία (1:3) για διαμόρφωση τριγωνικής τσεκολαδούρας διαστάσεων 50Χ50 mm. Όλα σύμφωνα με τις Τεχνικές Προδιαγραφές και τις κατασκευαστικές λεπτομέρειες</t>
  </si>
  <si>
    <t xml:space="preserve">Σύστημα στεγανοποίησης SikaProof A+
της εταιρείας Sika τοποθετημένο 
πάνω στο καλούπι πριν την σκυροδέτηση (όπου επιτρέπετε) με επικάλυψη και συγκόλληση μεταξύ διάκενων με λωρίδες πλάτους 150mm με SikaProof tape A+ ή άλλο ισοδύναμο της έγκρισης του Αρχιτέκτονα. Όλα σύμφωνα με Τεχνικές Προδιαγραφές. </t>
  </si>
  <si>
    <t>Σελίδα 3/1</t>
  </si>
  <si>
    <t>Σελίδα 3/2</t>
  </si>
  <si>
    <t>Σελίδα 3/3</t>
  </si>
  <si>
    <t>Σελίδα 3/4</t>
  </si>
  <si>
    <t>Σελίδα 3/5</t>
  </si>
  <si>
    <t>Σελίδα 3/6</t>
  </si>
  <si>
    <t>Σελίδα 3/7</t>
  </si>
  <si>
    <t>Σελίδα 3/8</t>
  </si>
  <si>
    <t>Σελίδα 3/9</t>
  </si>
  <si>
    <t>Σελίδα 3/10</t>
  </si>
  <si>
    <t>Σελίδα 3/11</t>
  </si>
  <si>
    <t xml:space="preserve">Σε κολώνες και τοιχία 4ου υπογείου, μεταξύ επιπέδων +32.50 μέχρι +35.40 </t>
  </si>
  <si>
    <t xml:space="preserve">Σε δοκούς οροφής 4ου υπογείου, επίπεδο πλάκας +35.60 </t>
  </si>
  <si>
    <t>Σε πλάκα 4ου υπογείου επίπεδο +35.60, πάχος 200mm</t>
  </si>
  <si>
    <t>Σε ράμπα οχημάτων επιπέδου +31.30 προς +35.60, 4ου υπογείου, πάχος 200mm</t>
  </si>
  <si>
    <t xml:space="preserve">Σε κάθετη επιφάνεια τοίχων φρεατίου ανελκυστήρα, ύψος 300mm </t>
  </si>
  <si>
    <t xml:space="preserve">Σε κάθετη επιφάνεια τοίχου φρεατίου ανελκυστήρα, ύψος 1500mm </t>
  </si>
  <si>
    <t>Σε κάθετη επιφάνεια πεδίλου γενικής κοιτόστρωσης, ύψος 1200mm, επίπεδο +31.30</t>
  </si>
  <si>
    <t>Σε κάθετη επιφάνεια πεδίλου γενικής κοιτόστρωσης, ύψος 1200mm, επίπεδο +35.60</t>
  </si>
  <si>
    <t xml:space="preserve">Σε μεμονωμένες κολώνες και τοιχία 4ου υπογείου, μεταξύ επιπέδων +32.50 μέχρι +35.40 </t>
  </si>
  <si>
    <t xml:space="preserve">Σε κολώνες και τοιχία 3ου υπογείου, μεταξύ επιπέδων +35.60 μέχρι +38.50 </t>
  </si>
  <si>
    <t xml:space="preserve">Σε μεμονωμένες κολώνες και τοιχία 3ου υπογείου, μεταξύ επιπέδων +35.60 μέχρι +38.50 </t>
  </si>
  <si>
    <t xml:space="preserve">Σε δοκούς οροφής 3ου υπογείου, επίπεδο πλάκας +38.70 </t>
  </si>
  <si>
    <t>Σε πλάκα 3ου υπογείου επίπεδο +38.70, πάχος 200mm</t>
  </si>
  <si>
    <t>Σε ράμπα οχημάτων επιπέδου +35.60 προς +38.70, 3ου υπογείου, πάχος 200mm</t>
  </si>
  <si>
    <t>Σε κολώνες και τοιχία 2ου υπογείου, μεταξύ επιπέδων +38.70 μέχρι +41.60</t>
  </si>
  <si>
    <t>Σε μεμονωμένες κολώνες και τοιχία 2ου υπογείου, μεταξύ επιπέδων +38.70 μέχρι +41.60</t>
  </si>
  <si>
    <t>Σε δοκούς οροφής 2ου υπογείου, επίπεδο πλάκας +41.80</t>
  </si>
  <si>
    <t>Σε πλάκα 2ου υπογείου επίπεδο +41.80, πάχος 200mm</t>
  </si>
  <si>
    <t>Σε στηθαία 2ου υπογείου</t>
  </si>
  <si>
    <t>Σε πέδιλο στηθαίου ΤΧΠ5</t>
  </si>
  <si>
    <t>Σε ράμπα οχημάτων επιπέδου +38.70 προς +41.80, 2ου υπογείου, πάχος 200mm</t>
  </si>
  <si>
    <t>Σε κολώνες και τοιχία 1ου υπογείου</t>
  </si>
  <si>
    <t>Σε μεμονωμένες κολώνες και τοιχία 1ου υπογείου</t>
  </si>
  <si>
    <t>Σε δοκούς οροφής 1ου υπογείου</t>
  </si>
  <si>
    <t>Σε στηθαία ισογείου</t>
  </si>
  <si>
    <t>Σε θεμελιοδοκό ΘΔ1</t>
  </si>
  <si>
    <t>Σε πλάκα οροφής 1ου υπογείου</t>
  </si>
  <si>
    <t>Σε ράμπες ισογείου</t>
  </si>
  <si>
    <t>Σε ράμπα εισόδου οχημάτων</t>
  </si>
  <si>
    <t>Σε αντιβαθμίδα σκαλοπατιών, ύψους 180mm</t>
  </si>
  <si>
    <t>Σε αντιβαθμίδα σκαλοπατιών εισόδου, ύψος 180mm</t>
  </si>
  <si>
    <t>Σε άκρο ανοιγμάτων πλάκας οροφής 4ου υπογείου, ύψος 200mm</t>
  </si>
  <si>
    <t>Σε άκρο ανοιγμάτων πλάκας οροφής 3ου υπογείου, ύψος 200mm</t>
  </si>
  <si>
    <t>Σε άκρο ανοιγμάτων πλάκας οροφής 2ου υπογείου, ύψος 200mm</t>
  </si>
  <si>
    <t>Σε άκρο ανοιγμάτων πλάκας οροφής 1ου υπογείου, ύψος 200mm</t>
  </si>
  <si>
    <t>Σε άκρα πλάκας 1ου υπογείου, ύψος 200mm</t>
  </si>
  <si>
    <t>ΚΤΙΡΙΟ ΓΡΑΦΕΙΩΝ</t>
  </si>
  <si>
    <t>Ξυλότυπος fair face (εμφανές) σε οπλισμένο σκυρόδεμα</t>
  </si>
  <si>
    <t xml:space="preserve">Σε τοιχία κλιμακοστασίου / ανελκυστήρα ισογείου </t>
  </si>
  <si>
    <t>Σε στηθαία οροφής ισογείου, ύψος 250mm</t>
  </si>
  <si>
    <t>Σε άκρο πλάκας οροφής ισογείου, ύψος 200mm</t>
  </si>
  <si>
    <t>Σε κολώνες 1ου ορόφου</t>
  </si>
  <si>
    <t>Σε τοιχία κλιμακοστασίου / ανελκυστήρα 1ου ορόφου</t>
  </si>
  <si>
    <t>Σε στηθαία οροφής 1ου ορόφου, ύψος 250mm</t>
  </si>
  <si>
    <t>Σε άκρο πλάκας οροφής 1ου ορόφου, ύψος 200mm</t>
  </si>
  <si>
    <t>Σε άκρο ανοιγμάτων πλάκας ισογείου, ύψος μέχρι 200mm</t>
  </si>
  <si>
    <t>Σε άκρο ανοιγμάτων πλάκας 1ου ορόφου, ύψος μέχρι 200mm</t>
  </si>
  <si>
    <t>Σε κολώνες μεσοπατώματος</t>
  </si>
  <si>
    <t>Σε πλάκα οροφής μεσοπατώματος</t>
  </si>
  <si>
    <t>Σε τοιχία κλιμακοστασίου / ανελκυστήρα μεσοπατώματος</t>
  </si>
  <si>
    <t>Σε στηθαία οροφής μεσοπατώματος, ύψος 250mm</t>
  </si>
  <si>
    <t>Σε άκρο πλάκας οροφής μεσοπατώματος, ύψος 200mm</t>
  </si>
  <si>
    <t>Σε άκρο ανοιγμάτων πλάκας μεσοπατώματος, ύψος μέχρι 200mm</t>
  </si>
  <si>
    <t>Σε πλάκα οροφής μεσοπατώματος κεκλιμένη</t>
  </si>
  <si>
    <t>Σε ανάπτυγμα διακοσμητικού όγκου σκυροδέματος ανατολικής όψης, από υψόμετρο +47.90 μέχρι +52.15, συμπεριλαμβανομένου δοκών</t>
  </si>
  <si>
    <t>Σε ανάπτυγμα διακοσμητικού όγκου σκυροδέματος Βόριας όψης, από υψόμετρο +50.70 μέχρι +52.15, συμπεριλαμβανομένου δοκών</t>
  </si>
  <si>
    <t>Σε ανάπτυγμα διακοσμητικού όγκου σκυροδέματος Δυτικής όψης, από υψόμετρο +48.30 μέχρι +52.15, συμπεριλαμβανομένου δοκών</t>
  </si>
  <si>
    <t>Σε οριζόντια επιφάνεια δοκών οροφής ισογείου</t>
  </si>
  <si>
    <t>Σε κάθετες επιφάνειες δοκών οροφής ισογείου</t>
  </si>
  <si>
    <t>Σε εσωτερικές επιφάνειες τοίχων διακοσμητικού σκυροδέματος ανατολικής όψης, από υψόμετρο +47.90 μέχρι +52.15</t>
  </si>
  <si>
    <t>Σε οριζόντια απιφάνεια δοκών οροφής μεσοπατώματος</t>
  </si>
  <si>
    <t>Σε κάθετες επιφάνειες δοκών οροφής μεσοπατώματος</t>
  </si>
  <si>
    <t>Σε εσωτερική επιφάνεια αναπτύγματος διακοσμητικού όγκου σκυροδέματος Βόριας όψης, από υψόμετρο +50.70 μέχρι +52.15</t>
  </si>
  <si>
    <t>Σε κάθετες επιφάνειες δοκών οροφής 1ου ορόφου</t>
  </si>
  <si>
    <t>Σε οριζόντια επιφάνεια δοκών οροφής 1ου ορόφου</t>
  </si>
  <si>
    <t>Σε κεκλιμένες πλάκες οροφής 1ου ορόφου</t>
  </si>
  <si>
    <t>Σε ανάπτυγμα διακοσμητικού όγκου σκυροδέματος ανατολικής όψης, από υψόμετρο +52.15 μέχρι +55.75, συμπεριλαμβανομένου δοκών</t>
  </si>
  <si>
    <t>Σε ανάπτυγμα διακοσμητικού όγκου σκυροδέματος Βόριας όψης, από υψόμετρο +53.15 μέχρι +55.75, συμπεριλαμβανομένου δοκών</t>
  </si>
  <si>
    <t>Σε ανάπτυγμα διακοσμητικού όγκου σκυροδέματος Δυτικής όψης, από υψόμετρο +54.30 μέχρι +55.75, συμπεριλαμβανομένου δοκών</t>
  </si>
  <si>
    <t>Σε εσωτερική επιφάνεια αναπτύγματος διακοσμητικού όγκου σκυροδέματος Βόριας όψης, από υψόμετρο +53.15 μέχρι +55.75</t>
  </si>
  <si>
    <t>Σε κολώνες 2ου ορόφου</t>
  </si>
  <si>
    <t>Σε οριζόντια επιφάνεια δοκών οροφής 2ου ορόφου</t>
  </si>
  <si>
    <t>Σε κάθετες επιφάνειες δοκών οροφής 2ου ορόφου</t>
  </si>
  <si>
    <t>Σε κεκλιμένες πλάκες οροφής 2ου ορόφου</t>
  </si>
  <si>
    <t>Σε τοιχία κλιμακοστασίου / ανελκυστήρα 2ου ορόφου</t>
  </si>
  <si>
    <t>Σε στηθαία οροφής 2ου ορόφου, ύψος 250mm</t>
  </si>
  <si>
    <t>Σε άκρο πλάκας οροφής 2ου ορόφου, ύψος 200mm</t>
  </si>
  <si>
    <t>Σε άκρο ανοιγμάτων πλάκας 2ου ορόφου, ύψος μέχρι 200mm</t>
  </si>
  <si>
    <t>Σε πλάκα οροφής 2ου ορόφου +60.10</t>
  </si>
  <si>
    <t>Σε εσωτερική επιφάνεια αναπτύγματος διακοσμητικού όγκου σκυροδέματος Βόριας όψης, από υψόμετρο +57.75 μέχρι +60.35</t>
  </si>
  <si>
    <t>Σε ανάπτυγμα διακοσμητικού όγκου σκυροδέματος ανατολικής όψης, από υψόμετρο +57.75 μέχρι +60.35, συμπεριλαμβανομένου δοκών</t>
  </si>
  <si>
    <t>Σε ανάπτυγμα διακοσμητικού όγκου σκυροδέματος Δυτικής όψης, από υψόμετρο +57.75 μέχρι +60.10, συμπεριλαμβανομένου δοκών</t>
  </si>
  <si>
    <t>Σε κολώνες 3ου ορόφου</t>
  </si>
  <si>
    <t>Σε στηθαία οροφής 3ου ορόφου, 250mm ύψος</t>
  </si>
  <si>
    <t>Σε πλάκες οροφής 3ου ορόφου</t>
  </si>
  <si>
    <t>Σε άκρο πλάκας οροφής 3ου ορόφου, 200mm ύψος</t>
  </si>
  <si>
    <t>Σε οριζόντια επιφάνεια δοκών οροφής 3ου ορόφου</t>
  </si>
  <si>
    <t>Σε κάθετες επιφάνειες δοκών οροφής 3ου ορόφου</t>
  </si>
  <si>
    <t>Σε άκρο ανοιγμάτων πλάκας οροφής 3ου ορόφου, 200mm ύψος</t>
  </si>
  <si>
    <t>Σε κολώνες 4ου ορόφου</t>
  </si>
  <si>
    <t>Σε οριζόντια επιφάνεια δοκών οροφής 4ου ορόφου</t>
  </si>
  <si>
    <t>Σε κάθετες επιφάνειες δοκών οροφής 4ου ορόφου</t>
  </si>
  <si>
    <t>Σε στηθαία οροφής 4ου ορόφου, 250mm ύψος</t>
  </si>
  <si>
    <t>Σε πλάκες οροφής 4ου ορόφου</t>
  </si>
  <si>
    <t>Σε άκρο πλάκας οροφής 4ου ορόφου, 200mm ύψος</t>
  </si>
  <si>
    <t>Σε άκρο ανοιγμάτων πλάκας οροφής 4ου ορόφου, 200mm ύψος</t>
  </si>
  <si>
    <t>Σε κολώνες 5ου ορόφου</t>
  </si>
  <si>
    <t>Σε οριζόντια επιφάνεια δοκών οροφής 5ου ορόφου</t>
  </si>
  <si>
    <t>Σε κάθετες επιφάνειες δοκών οροφής 5ου ορόφου</t>
  </si>
  <si>
    <t>Σε στηθαία οροφής 5ου ορόφου, 250mm ύψος</t>
  </si>
  <si>
    <t>Σε πλάκες οροφής 5ου ορόφου</t>
  </si>
  <si>
    <t>Σε άκρο πλάκας οροφής 5ου ορόφου, 200mm ύψος</t>
  </si>
  <si>
    <t>Σε άκρο ανοιγμάτων πλάκας οροφής 5ου ορόφου, 200mm ύψος</t>
  </si>
  <si>
    <t>Σε κολώνες 6ου ορόφου</t>
  </si>
  <si>
    <t>Σε οριζόντια επιφάνεια δοκών οροφής 6ου ορόφου</t>
  </si>
  <si>
    <t>Σε κάθετες επιφάνειες δοκών οροφής 6ου ορόφου</t>
  </si>
  <si>
    <t>Σε στηθαία οροφής 6ου ορόφου, 250mm ύψος</t>
  </si>
  <si>
    <t>Σε πλάκες οροφής 6ου ορόφου</t>
  </si>
  <si>
    <t>Σε άκρο πλάκας οροφής 6ου ορόφου, 200mm ύψος</t>
  </si>
  <si>
    <t>Σε άκρο ανοιγμάτων πλάκας οροφής 6ου ορόφου, 200mm ύψος</t>
  </si>
  <si>
    <t>Σε κολώνες 7ου ορόφου</t>
  </si>
  <si>
    <t>Σε οριζόντια επιφάνεια δοκών οροφής 7ου ορόφου</t>
  </si>
  <si>
    <t>Σε κάθετες επιφάνειες δοκών οροφής 7ου ορόφου</t>
  </si>
  <si>
    <t>Σε στηθαία οροφής 7ου ορόφου, 250mm ύψος</t>
  </si>
  <si>
    <t>Σε πλάκες οροφής 7ου ορόφου</t>
  </si>
  <si>
    <t>Σε άκρο ανοιγμάτων πλάκας οροφής 7ου ορόφου, 200mm ύψος</t>
  </si>
  <si>
    <t>Σε κολώνες 8ου ορόφου</t>
  </si>
  <si>
    <t>Σε οριζόντια επιφάνεια δοκών οροφής 8ου ορόφου</t>
  </si>
  <si>
    <t>Σε κάθετες επιφάνειες δοκών οροφής 8ου ορόφου</t>
  </si>
  <si>
    <t>Σε στηθαία οροφής 8ου ορόφου, 250mm ύψος</t>
  </si>
  <si>
    <t>Σε πλάκες οροφής 8ου ορόφου</t>
  </si>
  <si>
    <t>Σε άκρο πλάκας οροφής 8ου ορόφου, 200mm ύψος</t>
  </si>
  <si>
    <t>Σε άκρο ανοιγμάτων πλάκας οροφής 8ου ορόφου, 200mm ύψος</t>
  </si>
  <si>
    <t>Σε κολώνες 9ου ορόφου</t>
  </si>
  <si>
    <t>Σε οριζόντια επιφάνεια δοκών οροφής 9ου ορόφου</t>
  </si>
  <si>
    <t>Σε κάθετες επιφάνειες δοκών οροφής 9ου ορόφου</t>
  </si>
  <si>
    <t>Σε στηθαία οροφής 9ου ορόφου, 250mm ύψος</t>
  </si>
  <si>
    <t>Σε πλάκες οροφής 9ου ορόφου</t>
  </si>
  <si>
    <t>Σε άκρο πλάκας οροφής 9ου ορόφου, 200mm ύψος</t>
  </si>
  <si>
    <t>Σε άκρο ανοιγμάτων πλάκας οροφής 9ου ορόφου, 200mm ύψος</t>
  </si>
  <si>
    <t>Σε κολώνες 10ου ορόφου</t>
  </si>
  <si>
    <t>Σε οριζόντια επιφάνεια δοκών οροφής 10ου ορόφου</t>
  </si>
  <si>
    <t>Σε κάθετες επιφάνειες δοκών οροφής 10ου ορόφου</t>
  </si>
  <si>
    <t>Σε στηθαία οροφής 10ου ορόφου, 250mm ύψος</t>
  </si>
  <si>
    <t>Σε πλάκες οροφής 10ου ορόφου</t>
  </si>
  <si>
    <t>Σε άκρο πλάκας οροφής 10ου ορόφου, 200mm ύψος</t>
  </si>
  <si>
    <t>Σε άκρο ανοιγμάτων πλάκας οροφής 10ου ορόφου, 200mm ύψος</t>
  </si>
  <si>
    <t>Σε κεκλιμένη κοιλιά σκάλας, σε όλους τους ορόφους</t>
  </si>
  <si>
    <t>ΥΠΟΓΕΙΑ</t>
  </si>
  <si>
    <t>ΚΤΙΡΙΟ ΔΙΑΜΕΡΙΣΜΑΤΩΝ</t>
  </si>
  <si>
    <t>Σε κεκλιμένη κοιλιά σκάλας, σε υπόγεια</t>
  </si>
  <si>
    <t>Σε άκρο πλάκας, συνολικό ύψος 700mm, σε οροφή ισογείου</t>
  </si>
  <si>
    <t>Σε άκρο πλάκας, συνολικό ύψος 700mm, σε οροφή μεσοπατώματος</t>
  </si>
  <si>
    <t>Σε άκρο πλάκας, συνολικό ύψος 700mm, σε οροφή 1ου ορόφου</t>
  </si>
  <si>
    <t>Σε άκρο πλάκας, συνολικό ύψος 700mm, σε οροφή 2ου ορόφου</t>
  </si>
  <si>
    <t>Σε άκρο πλάκας, συνολικό ύψος 700mm, σε οροφή 3ου ορόφου</t>
  </si>
  <si>
    <t>Σε άκρο πλάκας, συνολικό ύψος 700mm, σε οροφή 4ου ορόφου</t>
  </si>
  <si>
    <t>Σε άκρο πλάκας, συνολικό ύψος 700mm, σε οροφή 5ου ορόφου</t>
  </si>
  <si>
    <t>Σε άκρο πλάκας, συνολικό ύψος 700mm, σε οροφή 6ου ορόφου</t>
  </si>
  <si>
    <t>Σε άκρο πλάκας, συνολικό ύψος 700mm, σε οροφή 7ου ορόφου</t>
  </si>
  <si>
    <t>Σε άκρο πλάκας, συνολικό ύψος 700mm, σε οροφή 8ου ορόφου</t>
  </si>
  <si>
    <t>Σε άκρο πλάκας, συνολικό ύψος 700mm, σε οροφή 9ου ορόφου</t>
  </si>
  <si>
    <t>Σε κεκλιμένα τοιχία σε ανατολική και δυτική όψη σε μεσοπάτωμα</t>
  </si>
  <si>
    <t>Σε κεκλιμένα τοιχία σε ανατολική και δυτική όψη σε 1ον όροφο</t>
  </si>
  <si>
    <t>Σε κεκλιμένα τοιχία σε ανατολική και δυτική όψη σε 2ον όροφο</t>
  </si>
  <si>
    <t>Σε κεκλιμένα τοιχία σε ανατολική και δυτική όψη σε 3ον όροφο</t>
  </si>
  <si>
    <t>Σε κεκλιμένα τοιχία σε ανατολική και δυτική όψη σε 4ον όροφο</t>
  </si>
  <si>
    <t>Σε κεκλιμένα τοιχία σε ανατολική και δυτική όψη σε 5ον όροφο</t>
  </si>
  <si>
    <t>Σε κεκλιμένα τοιχία σε ανατολική και δυτική όψη σε 6ον όροφο</t>
  </si>
  <si>
    <t>Σε κεκλιμένα τοιχία σε ανατολική και δυτική όψη σε 7ον όροφο</t>
  </si>
  <si>
    <t>Σε κεκλιμένα τοιχία σε ανατολική και δυτική όψη σε 8ον όροφο</t>
  </si>
  <si>
    <t>Σε κεκλιμένα τοιχία σε ανατολική και δυτική όψη σε 9ον όροφο</t>
  </si>
  <si>
    <t>Σε άκρο σκάλας υπογείων</t>
  </si>
  <si>
    <t>Σε άκρος σκάλας</t>
  </si>
  <si>
    <t>Σε επιφάνειες δοκών και τοίχων σε βόρεια όψης, μεσοπάτωμα</t>
  </si>
  <si>
    <t>Σε επιφάνειες δοκών και τοίχων σε βόρεια όψης, 1ου ορόφου</t>
  </si>
  <si>
    <t>Σε επιφάνειες δοκών και τοίχων σε βόρεια όψης, 2ου ορόφου</t>
  </si>
  <si>
    <t>Σε επιφάνειες δοκών και τοίχων σε βόρεια όψης, 3ου ορόφου</t>
  </si>
  <si>
    <t>Σε επιφάνειες δοκών και τοίχων σε βόρεια όψης, 4ου ορόφου</t>
  </si>
  <si>
    <t>Σε επιφάνειες δοκών και τοίχων σε βόρεια όψης, 5ου ορόφου</t>
  </si>
  <si>
    <t>Σε επιφάνειες δοκών και τοίχων σε βόρεια όψης, 6ου ορόφου</t>
  </si>
  <si>
    <t>Σε επιφάνειες δοκών και τοίχων σε βόρεια όψης, 7ου ορόφου</t>
  </si>
  <si>
    <t>Σε επιφάνειες δοκών και τοίχων σε βόρεια όψης, 8ου ορόφου</t>
  </si>
  <si>
    <t>Σε επιφάνειες δοκών και τοίχων σε βόρεια όψης, 9ου ορόφου</t>
  </si>
  <si>
    <t>Σε επιφάνειες δοκών και τοίχων σε βόρεια όψης, 10ου ορόφου</t>
  </si>
  <si>
    <t>Σε κάτω μέρος R04, R06, πλάτος 350mm, σε όλους τους ορόφους</t>
  </si>
  <si>
    <t>Σε στηθαία οροφής ισογείου</t>
  </si>
  <si>
    <t>Σε στηθαία οροφής μεσοπατώματος</t>
  </si>
  <si>
    <t>Σε στηθαία οροφής 1ου ορόφου</t>
  </si>
  <si>
    <t>Σε στηθαία οροφής 2ου ορόφου</t>
  </si>
  <si>
    <t>Σε στηθαία οροφής 3ου ορόφου</t>
  </si>
  <si>
    <t>Σε στηθαία οροφής 4ου ορόφου</t>
  </si>
  <si>
    <t>Σε στηθαία οροφής 5ου ορόφου</t>
  </si>
  <si>
    <t>Σε στηθαία οροφής 6ου ορόφου</t>
  </si>
  <si>
    <t>Σε στηθαία οροφής 7ου ορόφου</t>
  </si>
  <si>
    <t>Σε στηθαία οροφής 8ου ορόφου</t>
  </si>
  <si>
    <t>Σε στηθαία οροφής 9ου ορόφου</t>
  </si>
  <si>
    <t>Σε άκρο κεκλειμένων (υποκείμενων τοιχωμάτων) για δημιουργία κουφώματος παραθύρου, πλάτος 350mm</t>
  </si>
  <si>
    <t>Σε άκρο κεκλιμένων τοίχων σε όλους τους ορόφους, πλάτος μέχρι 350mm</t>
  </si>
  <si>
    <t>Σε άκρο ανοιγμάτων τοίχων σε όλους τους ορόφους (βόρειας όψης), πλάτος μέχρι 300mm</t>
  </si>
  <si>
    <t>Σε κολώνες ισογείου</t>
  </si>
  <si>
    <t xml:space="preserve">Σε τοιχία γενικά, ισογείου </t>
  </si>
  <si>
    <t>Σε άκρο πλάκας ισογείου, ύψος μέχρι 200mm</t>
  </si>
  <si>
    <t>Σε οριζόντια επιφάνεια δοκών οροφής μεσοπατώματος</t>
  </si>
  <si>
    <t>Σε τοιχία γενικά, μεσοπατώματος</t>
  </si>
  <si>
    <t>Σε άκρο πλάκας μεσοπατώματος, ύψος μέχρι 200mm</t>
  </si>
  <si>
    <t>Σε τοιχία γενικά, 1ου ορόφου</t>
  </si>
  <si>
    <t>Σε άκρο πλάκας 1ου ορόφου, ύψος μέχρι 200mm</t>
  </si>
  <si>
    <t>Σε τοιχία γενικά, 2ου ορόφου</t>
  </si>
  <si>
    <t>Σε άκρο πλάκας 2ου ορόφου, ύψος μέχρι 200mm</t>
  </si>
  <si>
    <t>Σε τοιχία κλιμακοστασίου / ανελκυστήρα 3ου ορόφου</t>
  </si>
  <si>
    <t>Σε τοιχία γενικά, 3ου ορόφου</t>
  </si>
  <si>
    <t>Σε άκρο πλάκας 3ου ορόφου, ύψος μέχρι 200mm</t>
  </si>
  <si>
    <t>Σε πλάκα οροφής 4ου ορόφου</t>
  </si>
  <si>
    <t>Σε τοιχία κλιμακοστασίου / ανελκυστήρα 4ου ορόφου</t>
  </si>
  <si>
    <t>Σε τοιχία γενικά, 4ου ορόφου</t>
  </si>
  <si>
    <t>Σε άκρο πλάκας 4ου ορόφου, ύψος μέχρι 200mm</t>
  </si>
  <si>
    <t>Σε πλάκα οροφής 5ου ορόφου</t>
  </si>
  <si>
    <t>Σε τοιχία κλιμακοστασίου / ανελκυστήρα 5ου ορόφου</t>
  </si>
  <si>
    <t>Σε τοιχία γενικά, 5ου ορόφου</t>
  </si>
  <si>
    <t>Σε άκρο πλάκας 5ου ορόφου, ύψος μέχρι 200mm</t>
  </si>
  <si>
    <t>Σε πλάκα οροφής 6ου ορόφου</t>
  </si>
  <si>
    <t>Σε τοιχία κλιμακοστασίου / ανελκυστήρα 6ου ορόφου</t>
  </si>
  <si>
    <t>Σε τοιχία γενικά, 6ου ορόφου</t>
  </si>
  <si>
    <t>Σε άκρο πλάκας 6ου ορόφου, ύψος μέχρι 200mm</t>
  </si>
  <si>
    <t>Σε πλάκα οροφής 7ου ορόφου</t>
  </si>
  <si>
    <t>Σε τοιχία κλιμακοστασίου / ανελκυστήρα 7ου ορόφου</t>
  </si>
  <si>
    <t>Σε τοιχία γενικά, 7ου ορόφου</t>
  </si>
  <si>
    <t>Σε άκρο πλάκας 7ου ορόφου, ύψος μέχρι 200mm</t>
  </si>
  <si>
    <t>Σε πλάκα οροφής 8ου ορόφου</t>
  </si>
  <si>
    <t>Σε τοιχία κλιμακοστασίου / ανελκυστήρα 8ου ορόφου</t>
  </si>
  <si>
    <t>Σε τοιχία γενικά, 8ου ορόφου</t>
  </si>
  <si>
    <t>Σε άκρο πλάκας 8ου ορόφου, ύψος μέχρι 200mm</t>
  </si>
  <si>
    <t>Σε πλάκα οροφής 9ου ορόφου</t>
  </si>
  <si>
    <t>Σε τοιχία κλιμακοστασίου / ανελκυστήρα 9ου ορόφου</t>
  </si>
  <si>
    <t>Σε τοιχία γενικά, 9ου ορόφου</t>
  </si>
  <si>
    <t>Σε άκρο πλάκας 9ου ορόφου, ύψος μέχρι 200mm</t>
  </si>
  <si>
    <t>Σε προεξοχή διαστάσεων 200Χ100 R1102</t>
  </si>
  <si>
    <t>Σε R1105, ύψος 150mm</t>
  </si>
  <si>
    <t>Σε R1104, ύψος 150mm + 100mm</t>
  </si>
  <si>
    <t>Σε R1104, ύψος 150mm + 100mm + κάτω μέρος 350mm</t>
  </si>
  <si>
    <t>Σε R1101, ύψος 450mm + 100mm + κάτω μέτος 300mm + 350mm</t>
  </si>
  <si>
    <t>Σε πλάκα οροφής 10ου ορόφου</t>
  </si>
  <si>
    <t>Σε τοιχία κλιμακοστασίου / ανελκυστήρα 10ου ορόφου</t>
  </si>
  <si>
    <t>Σε τοιχία γενικά, 10ου ορόφου</t>
  </si>
  <si>
    <t>Σε άκρο πλάκας 10ου ορόφου, ύψος μέχρι 200mm</t>
  </si>
  <si>
    <t>ΠΡΟΚΑΤΑΡΤΙΚΑ</t>
  </si>
  <si>
    <r>
      <t>Ποσό (</t>
    </r>
    <r>
      <rPr>
        <b/>
        <sz val="11"/>
        <rFont val="Arial"/>
        <family val="2"/>
      </rPr>
      <t>€)</t>
    </r>
  </si>
  <si>
    <t>Ποσό</t>
  </si>
  <si>
    <r>
      <t>Μονάδος (</t>
    </r>
    <r>
      <rPr>
        <b/>
        <sz val="11"/>
        <rFont val="Arial"/>
        <family val="2"/>
      </rPr>
      <t>€)</t>
    </r>
  </si>
  <si>
    <t>Εργασίες με Ημερήσιο Απολογισμό</t>
  </si>
  <si>
    <t xml:space="preserve">                                                                              </t>
  </si>
  <si>
    <t xml:space="preserve">Οι πιο κάτω ποσότητες είναι προνοητικές και καμία υποχρέωση αναλαμβάνεται ότι δεν θα παραληφθούν, μειωθούν ή αυξηθούν ή ότι η εργασία θα εκτελεστεί και πληρωθεί με βάσει τις τιμές των εργασιών με Ημερήσιο Απολογισμό. Πιθανόν,να δοθούν οδηγίες στον Εργολάβο όπως εκτελέσει ορισμένες εργασίες με Ημερήσιο Απολογισμό.                           </t>
  </si>
  <si>
    <t>O Εργολάβος θα διατηρεί επακριβή δελτία εργασιών τα οποία θα δεικνύουν τις ώρες που καταναλώθηκαν  για εργατικά υλικά και μηχανήματα για κάθε οδηγία ξεχωριστά.</t>
  </si>
  <si>
    <t>Τα δελτία εργασιών με Ημερήσιο Απολογισμό θα αριθμούνται και θα περιγράφουν πλήρως τις οδηγίες στις οποίες θα αναφέρονται, θα τιμολογούνται και υποβάλλονται κάθε εβδομάδα στον Αρχιτέκτονα με αντίγραφο στον Επιμετρητή ποσοτήτων για έλεγχο.</t>
  </si>
  <si>
    <t>ΕΡΓΑΤΙΚΑ</t>
  </si>
  <si>
    <t xml:space="preserve">Ο Εργολάβος θα δώσει τις ζητούμενες τιμές για τα εργατικά και θα τις πολλαπλασιάσει επί των αναγραφόμενων ωρών. Οι τιμές θα είναι συνοπτικές και θα συμπεριλαμβάνουν:                                                                               </t>
  </si>
  <si>
    <t xml:space="preserve">(α) Μισθούς και όλα τα έξοδα εκ της εργοδοτήσεως προσωπικού όπως συνεισφορές και εθνική άμυνα, συντάξεις, ετήσιες  άδειες, δημόσιες αργίες, κλπ         </t>
  </si>
  <si>
    <t xml:space="preserve">(β) Όλα τα έξοδα επιβλέψεως Εργοταξίου και του κεντρικού γραφείου συμπεριλαμβανομένων μισθού του επιστάτη και των αυξημένων μισθών των αρχιμαστόρων                                                      </t>
  </si>
  <si>
    <t xml:space="preserve">(γ) Όλα τα γενικά έξοδα Εργοταξίου και επιχειρήσεως όπως ενοίκιο, ασφάλειες, ηλεκτρισμό, καύσιμα, νερό, γραφειακή ύλη, τηλέφωνα, κλπ                                                                                    </t>
  </si>
  <si>
    <t xml:space="preserve">(δ) Κέρδος                                                        </t>
  </si>
  <si>
    <t xml:space="preserve">Ανειδίκευτοι εργάτες             </t>
  </si>
  <si>
    <t>ώρες</t>
  </si>
  <si>
    <t>Τεχνίτες</t>
  </si>
  <si>
    <t>Ελαιoχρωματιστές</t>
  </si>
  <si>
    <t>Μηχανοδηγοί</t>
  </si>
  <si>
    <t>Εργάτες για τοποθέτηση ικριωμάτων</t>
  </si>
  <si>
    <t>ΥΛΙΚΑ</t>
  </si>
  <si>
    <t xml:space="preserve">Προνοητικό ποσό χιλίων                            </t>
  </si>
  <si>
    <t xml:space="preserve">Επτακοσίων Ευρώ για το κόστος υλικών των         </t>
  </si>
  <si>
    <t xml:space="preserve">Εργασιών με Ημερήσιο Απολογισμό.      </t>
  </si>
  <si>
    <t xml:space="preserve">Οι τιμές των υλικών θα είναι οι δεικνυόμενες         </t>
  </si>
  <si>
    <t>στα τιμολόγια. Εκπτώσεις μη υπερβαίνουσες τα</t>
  </si>
  <si>
    <t>το 5 % για άμεση πληρωμή θα κρατούνται</t>
  </si>
  <si>
    <t xml:space="preserve">υπό του Εργολάβου. Άλλες          </t>
  </si>
  <si>
    <t xml:space="preserve">παραχωρηθείσες εκπτώσεις θα                             </t>
  </si>
  <si>
    <t>μεταβιβάζονται στον Εργοδότη. Τα</t>
  </si>
  <si>
    <t xml:space="preserve">τιμολόγια θα παρουσιάζονται  </t>
  </si>
  <si>
    <t>στους Επιμετρητές ταυτόχρονα με</t>
  </si>
  <si>
    <t>τα δελτία Εργασίας για Ημερήσιο Απολογισμό.</t>
  </si>
  <si>
    <t>Ο Εργολάβος θα δώσει κατωτέρω το</t>
  </si>
  <si>
    <t>ζητούμενο ποσοστό που θα</t>
  </si>
  <si>
    <t>προστίθεται στα τιμολόγια υλικών</t>
  </si>
  <si>
    <t>για κάλυψη των γενικών εξόδων</t>
  </si>
  <si>
    <t xml:space="preserve">και κέρδους του και το                                              </t>
  </si>
  <si>
    <t>επεκτείνει στην χρηματική στήλη</t>
  </si>
  <si>
    <t>ΜΗΧΑΝΗΜΑΤΑ</t>
  </si>
  <si>
    <t>Ο Εργολάβος θα δώσει τις</t>
  </si>
  <si>
    <t xml:space="preserve">ζητούμενες τιμές για τα </t>
  </si>
  <si>
    <t>μηχανήματα που δίδονται πιο κάτω</t>
  </si>
  <si>
    <t>και θα τις πολλαπλασιάσει με τις</t>
  </si>
  <si>
    <t xml:space="preserve">αναγραφόμενες ώρες.                    </t>
  </si>
  <si>
    <t xml:space="preserve">Για μηχανήματα τα οποία δεν                   </t>
  </si>
  <si>
    <t>αναγράφονται λογικές τιμές με</t>
  </si>
  <si>
    <t>βάση τις τιμές που έχουν δοθεί</t>
  </si>
  <si>
    <t xml:space="preserve">πιο κάτω θα συμφωνούνται            </t>
  </si>
  <si>
    <t>με τον Επιμετρητή.</t>
  </si>
  <si>
    <t>Οι τιμές θα συμπεριλαμβάνουν το</t>
  </si>
  <si>
    <t>κόστος επιστατών, καυσίμων, συντήρησης</t>
  </si>
  <si>
    <t>και γενικά όλων των εξόδων και</t>
  </si>
  <si>
    <t xml:space="preserve">επιπλέον κέρδος                                                    </t>
  </si>
  <si>
    <r>
      <t xml:space="preserve">Οι τιμές </t>
    </r>
    <r>
      <rPr>
        <b/>
        <u val="double"/>
        <sz val="9"/>
        <rFont val="Arial"/>
        <family val="2"/>
        <charset val="161"/>
      </rPr>
      <t>δεν</t>
    </r>
    <r>
      <rPr>
        <b/>
        <sz val="9"/>
        <rFont val="Arial"/>
        <family val="2"/>
        <charset val="161"/>
      </rPr>
      <t xml:space="preserve"> θα συμπεριλαμβάνουν το κόστος των</t>
    </r>
  </si>
  <si>
    <t>οδηγών ή μηχανοδηγών</t>
  </si>
  <si>
    <t>Κινητός αεροσυμπιεστής με πιστόλα</t>
  </si>
  <si>
    <t>Τάμπερ χωρητικότητας 1 Μ3</t>
  </si>
  <si>
    <t>Ημιφορτηγό (Διπλοκάμπινο)</t>
  </si>
  <si>
    <t>Μηχανή αναμίξεως μπετόν</t>
  </si>
  <si>
    <t>Ανατρεπόμενο φορτηγό χωρητικότητας</t>
  </si>
  <si>
    <t>8-10 Μ3</t>
  </si>
  <si>
    <t>Δίσκος για κοψίματα</t>
  </si>
  <si>
    <t>Ηλεκτρικό κάνγκο</t>
  </si>
  <si>
    <t>Εκσκαφέας/φορτωτήρας (digger)</t>
  </si>
  <si>
    <t>Εκσκαφέας (digger) με υδραυλική σφύρα</t>
  </si>
  <si>
    <t>M</t>
  </si>
  <si>
    <t>Ανυψωτικό μηχάνημα (φόρκλιφτ)</t>
  </si>
  <si>
    <t xml:space="preserve"> </t>
  </si>
  <si>
    <t>Τιμολογήσατε τις τιμές ή συμπεριλάβετε στις τιμές για οτιδήποτε αναφέρεται στα Δελτία Συμβολαίου και το οποίο έχει χρηματική αξία.</t>
  </si>
  <si>
    <t>Έχει δοθεί πρόνοια όπως το ολικό κάθε σελίδας μεταφέρεται στο τέλος κάθε Δελτίου.</t>
  </si>
  <si>
    <t>Οι τιμές μονάδος θα μπορούν να χρησιμοποιηθούν για τη ρύθμιση του Τελικού Λογαριασμού και για αυτό το λόγο ο Εργολάβος πρέπει να βεβαιωθεί ότι παρόμοιες τιμές σε  διαφορετικά μέρη των Δελτίων Συμβολαίου δεν τιμολογούνται διαφορετικά εκτός εάν σκοπίμως ήθελε πράξει τούτο.</t>
  </si>
  <si>
    <t>Οι τιμές μονάδος και το ολικό κάθε περιγραφής να δίνεται σε δεκαδικά του Ευρώ.</t>
  </si>
  <si>
    <t>Οι τιμές Εργολάβου καθώς και οι αριθμητικές πράξεις να γράφονται με μαύρο ή μπλέ μελάνι ώστε να μπορούν να φωτοτυπώνονται καθαρά.</t>
  </si>
  <si>
    <t>Ουδεμία απαίτηση για επιπλέον πληρωμή, θα γίνεται δεκτή λόγω του ότι ο Εργολάβος αμέλησε να ακολουθήσει οποιανδήποτε από τις οδηγίες που περιέχονται στα Δελτία Συμβολαίου.</t>
  </si>
  <si>
    <t>Ο Eργoλάβoς συμβουλεύεται όπως βεβαιωθεί για το μέγεθος και τον χαρακτήρα των Εργασιών, την Προσφορά και τις συνθήκες που επηρεάζουν το εργατικό προσωπικό όπως και όλες τις τοπικές συνθήκες και περιορισμούς που επηρεάζουν τις Εργασίες.</t>
  </si>
  <si>
    <t>Ο Εργολάβος θα πρέπει να οργανώνει τους Υπεργολάβους (Διορισμένους και μη), Τεχνίτες και άλλους Εργολάβους του Εργοδότη ώστε να μην υπάρξει καθυστέρηση ή διακοπή στις Εργασίες.</t>
  </si>
  <si>
    <r>
      <t>Ο όρος ‘</t>
    </r>
    <r>
      <rPr>
        <b/>
        <sz val="11"/>
        <rFont val="Arial"/>
        <family val="2"/>
      </rPr>
      <t>Επιβλέπων Μηχανικός’</t>
    </r>
    <r>
      <rPr>
        <sz val="11"/>
        <rFont val="Arial"/>
        <family val="2"/>
      </rPr>
      <t xml:space="preserve"> (Ε.Μ.) θα εννοεί τον Μηχανικό Έργου.</t>
    </r>
  </si>
  <si>
    <t>Περιγραφή του Έργου</t>
  </si>
  <si>
    <t xml:space="preserve">Χρόνος Συμπλήρωσης των Εργασιών </t>
  </si>
  <si>
    <t>O χρόνος Συμπλήρωσης των Εργασιών όπως καθορίζεται στο Παράρτημα Όρων του Συμβολαίου είναι ουσιώδης και πρέπει να τηρηθεί σε αυστηρά πλαίσια.</t>
  </si>
  <si>
    <t>Χώρος Εργοταξίου</t>
  </si>
  <si>
    <t>Ο Εργολάβος να συμπεριλάβει στις τιμές του για την πλήρη συμμόρφωση του με τους κανονισμούς των Τοπικών Αρχών και της Αστυνομίας και ειδικά στο θέμα πρόσβασης από και προς το χώρο Εργοταξίου.</t>
  </si>
  <si>
    <t>Ο χώρος του Εργοταξίου δεν θα χρησιμοποιηθεί για άλλο σκοπό παρά μόνο για την εκτέλεση των Εργασιών που αναφέρονται στο Συμβόλαιο αυτό.</t>
  </si>
  <si>
    <t>Ο Εργολάβος να λάβει όλα τα δέοντα μέτρα για την  αποφυγή οποιασδήποτε παρενόχλησης λόγω θορύβου,ή σκόνης, κατά την εκτέλεση των Εργασιών και θα εκτελέσει τις Εργασίες χωρίς καμιά παρενόχληση ή ζημιά στις γειτονικές περιουσίες όπως οδούς,πεζοδρόμια και με πλήρη συμμόρφωση προς τις οδηγίες του Αρχιτέκτονα.</t>
  </si>
  <si>
    <t>Χώρος Εργοταξίου (συνέχεια.)</t>
  </si>
  <si>
    <t xml:space="preserve">Ο Εργολάβος να εξακριβώσει τον χαρακτήρα/μορφολογία του εδάφους στο χώρο Εργοταξίου με όποιο τρόπο επιθυμεί (π.χ. με γεωτεχνική έρευνα). Αν κατά την εκτέλεση των Εργασιών συναντήσει βράχο ,νερό ή οποιεσδήποτε άλλες απρόβλεπτες συνθήκες, καμία απαίτηση  του για επιπλέον πληρωμή θα γίνει αποδεκτή. </t>
  </si>
  <si>
    <t>Ο Εργολάβος οφείλει να λάβει όλα τα απαραίτητα μέτρα για στήριξη των παρειών των εκσκαφών ώστε, να αποφευχθεί οποιαδήποτε κατάρρευση.</t>
  </si>
  <si>
    <t>Οι πληρωμές για οποιεσδήποτε επιπλέον Εργασίες θα βασίζονται σε τιμές μoνάδoς των Δελτίων Επιμετρηθεισών και Υπολογισθεισών Εργασιών εκτός εάν συμφωνηθεί διαφορετικά (πχ με εργασίες με ημερήσιο απολογισμό).</t>
  </si>
  <si>
    <t>Το Εργοτάξιο θα διατηρείται συνεχώς αποστραγγισμένο και καμία εργασία δεν θα εκτελείται στην παρουσία νερού στην επιφάνεια της εκσκαφής.</t>
  </si>
  <si>
    <t>Γειτονικά κτίρια και περιουσίες</t>
  </si>
  <si>
    <t>Ο Εργολάβος οφείλει να λάβει τα κατάλληλα μέτρα για την αποπεράτωση των Εργασιών χωρίς να προκαλέσει καμία ζημιά και παρεμποδίσει τη χρήση των δρόμων, πεζόδρομων και γειτονικών κτιρίων και να συμμορφώνεται με όλες τις οδηγίες του Αρχιτέκτονα όσον αφορά το θέμα αυτό. Σε περίπτωση που θα προκληθεί ζημιά σε γειτονική οικοδομή ή παρακείμενο δρόμο τότε ακέραια ευθύνη θα έχει ο Εργολάβος ο οποίος θα είναι υπόλογος και υπεύθυνος για οποιεσδήποτε αποζημιώσεις και επιδιορθώσεις.</t>
  </si>
  <si>
    <t>Ο Εργολάβος θα παίρνει όλα τα κατάλληλα μέτρα προς ικανοποίηση του Αρχιτέκτονα και θα είναι υπεύθυνος για οτιδήποτε είναι αναγκαίο προς στήριξη των Εργασιών και προφύλαξη των γειτονικών περιουσιών κ.ατά την διάρκεια των Εργασιών και ειδικότερα κατά την διάρκεια των εκσκαφών, καθώς και επιδιόρθωση όλων των Εργασιών που θα επηρεασθούν</t>
  </si>
  <si>
    <r>
      <t xml:space="preserve">Οι Όροι του Συμβολαίου θα είναι οι πρότυποι όροι της ΜΕΔΣΚ του </t>
    </r>
    <r>
      <rPr>
        <b/>
        <sz val="11"/>
        <rFont val="Arial"/>
        <family val="2"/>
      </rPr>
      <t>Εντύπου Κύριου Δομικού Συμβολαίου για Οικοδομικά και Τεχνικά Έργα (Με Δεσμευτικές Ποσότητες) P/LS/MC(1) 2η έκδοση Μάρτιος 2021</t>
    </r>
  </si>
  <si>
    <t>1: Ορισμοί και ερμηνείες</t>
  </si>
  <si>
    <t>2: Γλώσσα και Νομοθεσία</t>
  </si>
  <si>
    <t>3: Υποχρεώσεις Εργολάβου</t>
  </si>
  <si>
    <t>4: Οδηγίες Α/ΜΧ</t>
  </si>
  <si>
    <t>5: Έγγραφα Συμβολαίου</t>
  </si>
  <si>
    <t>6: Κατά Νόμον υποχρεώσεις, ειδοποιήσεις, αμοιβέςκαι χρεώσεις</t>
  </si>
  <si>
    <t xml:space="preserve">7: Υψόμετρα και χάραξη των Εργασιών </t>
  </si>
  <si>
    <t>8: Υλικά, εμπορεύματα και τεχνουργία να συμμορφώνονται προς τις περιγραφές, δοκιμές και επιθεωρήσεις.</t>
  </si>
  <si>
    <t>9: Πνευματικά δικαιώματα και δικαιώματα ευρεσιτεχνίας</t>
  </si>
  <si>
    <t>10: Υπεύθυνος Εργοταξίου</t>
  </si>
  <si>
    <t xml:space="preserve">11:  Δικαίωμα εισόδου για το Εργοδότη, το Προσωπικό του Εργοδότη και τα Ενδιαφερόμενα ΤρίταΜέρη, στις Εργασίες. </t>
  </si>
  <si>
    <t>12: Επιθεωρητής Εργοταξίου</t>
  </si>
  <si>
    <t>13: Μετατροπές, Ποσά Προνοίας, Ποσά Αρχικού Κόστους και Τιμές Αρχικού Κόστους</t>
  </si>
  <si>
    <t>14: Δελτία Συμβολαίου</t>
  </si>
  <si>
    <t>15: Ποσό Συμβολαίου</t>
  </si>
  <si>
    <t>16:Φόρος Προστιθέμενης Αξίας</t>
  </si>
  <si>
    <t>17: Υλικά Εργασιών επί του Χώρου Εργοταξίου</t>
  </si>
  <si>
    <t>18: Έμπρακτη Συμπλήρωση και Περίοδος Ευθύνης για Ελαττώματα</t>
  </si>
  <si>
    <t>19: Μερική Παραλαβή από τον Εργοδότη</t>
  </si>
  <si>
    <t>20: Εκχώρηση ή υπεκμίσθωση</t>
  </si>
  <si>
    <t>21: Βλάβες σε πρόσωπα και ιδιοκτησίες και εξασφάλιση του Εργοδότη και του Εργολάβου</t>
  </si>
  <si>
    <t>22: Ασφάλιση έναντι βλάβης σε πρόσωπα και ιδιοκτησίες</t>
  </si>
  <si>
    <t xml:space="preserve">23: Ασφάλιση των Εργασιών / Ασφάλιση τωμ Εργασών και των υφιστάμενων κατασκευών με τα περιεχόμενα τους/ Ασφάλιση του συμπληρωμένου Έργου για αφανή ελαττώματα </t>
  </si>
  <si>
    <t xml:space="preserve">24: Προγραμματισμός εκτέλσεης και συπλήρωσης των Εργασιών και Κατοχή του χώρου Εργοταξίου </t>
  </si>
  <si>
    <t>25: Αποζημιώσεις για μη αποπεράτωση</t>
  </si>
  <si>
    <t xml:space="preserve">26:Παράταση Χρόνου </t>
  </si>
  <si>
    <t>27: Απώλειες και έξοδα προξενούμενα από διατάραξη της κανονικής προόδου των Εργασιών</t>
  </si>
  <si>
    <t>28: Λύση από τον Εργοδότη</t>
  </si>
  <si>
    <t>29: Λύση από τον Εργολάβο</t>
  </si>
  <si>
    <t>30: Διορισμένοι Υπεργολάβοι</t>
  </si>
  <si>
    <t>31:Διορισμένοι Προμηθευτές</t>
  </si>
  <si>
    <t>32: Εργολάβοι Σχετικών Εργασιών</t>
  </si>
  <si>
    <t>33: Πιστοποιητικά και πληρωμές</t>
  </si>
  <si>
    <t>34: Διακυμάνσεις στα κατασκευαστικά κόστη</t>
  </si>
  <si>
    <t>35: Εκδηλώσεις Εχθροπραξιών</t>
  </si>
  <si>
    <t>36: Ζημιές λόγω πολέμου</t>
  </si>
  <si>
    <t>37: Αρχαιότητες</t>
  </si>
  <si>
    <t>38: Επίλυση Διαφορών</t>
  </si>
  <si>
    <t xml:space="preserve">39: Εγγύηση Πιστής Εκτέλεσης </t>
  </si>
  <si>
    <t>40: Προκαταβολές Πληρωμών</t>
  </si>
  <si>
    <t xml:space="preserve">42: Τόκος επί εκκρεμουσών πληρωμών </t>
  </si>
  <si>
    <t>43: Μεταγενέστερη Νομοθεσία</t>
  </si>
  <si>
    <t>44: Τέλη χαρτοσύμανσης</t>
  </si>
  <si>
    <t>Δελτία Επιμετρηθεισών και Υπολογισθεισών Εργασιών</t>
  </si>
  <si>
    <t>A</t>
  </si>
  <si>
    <t>Εκτός εάν αναφέρεται διαφορετικά σ' αυτά τα Έγγραφα, τα ακόλουθα</t>
  </si>
  <si>
    <t>θα συμπεριλαμβάνονται σε όλες τις περιγραφές­:</t>
  </si>
  <si>
    <t>- Εργατικά και όλα τα σχετικά κόστα.</t>
  </si>
  <si>
    <t>-Υλικά, εμπορεύματα και όλα τα σχετικά με αυτά κόστα.</t>
  </si>
  <si>
    <t>-Εφαρμογή και τοποθέτηση υλικών εμπορευμάτων στη θέση τους.</t>
  </si>
  <si>
    <t>- Χρήση Μηχανημάτων.</t>
  </si>
  <si>
    <t xml:space="preserve">-Σπατάλη υλικών συμπεριλαμβανομένων όλων των κοψιμάτων. </t>
  </si>
  <si>
    <t xml:space="preserve">- Γενικά έξοδα, έξοδα κεντρικών γραφείων και κέρδος. </t>
  </si>
  <si>
    <t>B</t>
  </si>
  <si>
    <t>Περιγραφές στο μέρος των τεχνικών προδιαγραφών θα προσδιορίζουν και θα αποτελούν μέρος κάθε περιγραφής της επιμετρηθείσας  Εργασίας στην οποία αναφέρονται.</t>
  </si>
  <si>
    <t>Ο Εργολάβος θα συμπεριλάβει στις τιμές του για όλα τα σχετικά έξοδα εργατικών και υλικών, τα οποία είναι αναγκαία για την πλήρη αποπεράτωση των Εργασιών</t>
  </si>
  <si>
    <r>
      <t>Ο Εργολάβος δεν θα χρησιμοποιήσει τα Δελτία Επιμετρηθεισών και Υπολογισθεισών Εργασιών</t>
    </r>
    <r>
      <rPr>
        <b/>
        <sz val="11"/>
        <rFont val="Arial"/>
        <family val="2"/>
      </rPr>
      <t xml:space="preserve"> </t>
    </r>
    <r>
      <rPr>
        <sz val="11"/>
        <rFont val="Arial"/>
        <family val="2"/>
      </rPr>
      <t>για  την παραγγελία υλικών .</t>
    </r>
  </si>
  <si>
    <t>Υλικά και Εργασία</t>
  </si>
  <si>
    <t>Όλα τα υλικά που θα χρησιμοποιηθούν και εφαρμοστούν στις Εργασίες, θα είναι πρώτης ποιότητας συμφώνως των Τεχνικών Προδιαγραφών.</t>
  </si>
  <si>
    <t>Ο Εργολάβος θα πρέπει με δικά του έξοδα  να  προμηθεύσει τον Αρχιτέκτονα με οποιαδήποτε δείγματα υλικών όταν του ζητηθεί.</t>
  </si>
  <si>
    <t>Περιγραφές στα Δελτία Επιμετρηθεισών και Υπολογισθεισών Εργασιών</t>
  </si>
  <si>
    <t>Οι περιγραφές των Εργασιών έγιναν με σκοπό  να βοηθήσουν τον Εργολάβο να αντιληφθεί το είδος και το μέγεθος της εργασίας. Στην τιμολόγηση του όμως θα πρέπει να θεωρήσει μαζί με τα σχέδια και τις Τεχνικές Προδιαγραφές και τους Όρους του Συμβολαίου την πραγματική εργασία που χρειάζεται και να συμπεριλάβει οτιδήποτε χρειάζεται για την εκτέλεση της εργασίας κατά τον καλύτερο δυνατό τρόπο ανεξάρτητα αν αναφέρεται στις περιγραφές ή όχι.</t>
  </si>
  <si>
    <t>Μέθοδος Επιμέτρησης</t>
  </si>
  <si>
    <t>Όλες οι ποσότητες που περιλαμβάνονται στα Δελτία Επιμετρηθεισών και Υπολογισθεισών Εργασιών έχουν μετρηθεί ως καθαρές και δεν περιλαμβάνουν για οποιαδήποτε φθορά.</t>
  </si>
  <si>
    <t>Οι ποσότητες έχουν μετατραπεί σε ακέραιους αριθμούς (rounded-off to the nearest unit).</t>
  </si>
  <si>
    <r>
      <t xml:space="preserve">Η μέθοδος επιμέτρησης για τα Δελτία Συμβολαίου δεν ταυτίζεται με καμία ξένη μέθοδο επιμέτρησης, αλλά ακολουθεί τις καθαρές ποσότητες των Εργασιών που θα εφαρμοσθούν στο Έργο, ακολουθώντας τον Οδηγό Τιμολόγησης </t>
    </r>
    <r>
      <rPr>
        <b/>
        <sz val="11"/>
        <rFont val="Arial"/>
        <family val="2"/>
      </rPr>
      <t>στο Παράρτημα Δ της Συγγραφής Υποχρεώσεων</t>
    </r>
  </si>
  <si>
    <t>Οι διάφορες Εργασίες κατά συνέπεια θα πρέπει να τιμολογούνται με τρόπο που να λαμβάνονται υπόψη όλες οι πληροφορίες που δίδονται στα Σχέδια και Τεχνικές Προδιαγραφές ή αλλού στα έγγραφα προσφοράς συμπεριλαμβανομένων και άλλων εργασιών οι οποίες προκύπτουν κατά την εξέλιξη των Εργασιών.</t>
  </si>
  <si>
    <t>Εργαστηριακές Δοκιμές Υλικών και Εργασιών</t>
  </si>
  <si>
    <t>Ο Εργολάβος θα συμπεριλάβει για τα έξοδα, για την εκτέλεση δοκιμών για την εξακρίβωση της ποιότητας των υλικών που χρησιμοποιεί για τις Εργασίες.</t>
  </si>
  <si>
    <t>Οι δοκιμές θα γίνονται σύμφωνα με τις προδιαγραφές και τα αποτελέσματα θα πρέπει να ικανοποιούν πλήρως τον Αρχιτέκτονα.</t>
  </si>
  <si>
    <t>Ορισμένοι έλεγχοι των δοκιμών θα δύνανται να γίνουν σε εργαστήριο το οποίο ο Εργολάβος θα εγκαταστήσει στο Εργοτάξιο με δικά του έξοδα, αφού τύχουν τόσο το εργαστήριο όσο και οι μέθοδοι ελέγχου δοκιμών  της απόλυτης έγκρισης του Αρχιτέκτονα.</t>
  </si>
  <si>
    <t>Ο Εργολάβος θα έχει υποχρέωση να διεξάγει όλες τις αναγκαίες εργαστηριακές δοκιμές των υλικών και Εργασιών στα εργαστήρια του Τμήματος Δημοσίων Έργων ή σε ιδιωτικά εργαστήρια της έγκρισης του Αρχιτέκτονα.</t>
  </si>
  <si>
    <t>Τιμολόγηση Γενικά</t>
  </si>
  <si>
    <t>Η τιμή που θα καταχωρήσει ο Εργολάβος έναντι κάθε Εργασίας θα περιλαμβάνει για όλες τις υποχρεώσεις του στο Συμβόλαιο για οτιδήποτε είναι αναγκαίο για την κατάλληλη εκτέλεση, αποπεράτωση και συντήρηση των Εργασιών καθώς και για όλες τις προσωρινές κατασκευές, περιλαμβανομένων οποιωνδήποτε κατασκευών που χρειάζονται από Διορισμένους Υπεργολάβους, Εσωτερικούς Υπεργολάβους, καλλιτέχνες, Τεχνίτες, ή άλλους Εργολάβους.</t>
  </si>
  <si>
    <t>Η τιμή για κάθε Εργασία θα περιλαμβάνει για όλα τα υλικά, εργατικά και για τη χρήση όλων των μηχανημάτων που είναι αναγκαία για την εκτέλεση των Εργασιών και για οτιδήποτε επιδιορθώσεις (making good). Θα περιλαμβάνει επίσης για τα κόστα της προετοιμασίας Προσφοράς για οτιδήποτε εργασία έχει σχέση με τον τελικό λογαριασμό, για κέρδος, και γενικά για όλα τα κόστα πάσης φύσεως.</t>
  </si>
  <si>
    <t>Εργασίες τις οποίες ο Εργολάβος δεν τιμολογήσει, θα θεωρείται ότι το κόστος τους έχει κατανεμηθεί σε άλλες Εργασίες των Δελτίων.</t>
  </si>
  <si>
    <t>Προνοητικό Είδος Εργασίας (προνοητική ποσότητα)</t>
  </si>
  <si>
    <t xml:space="preserve">Προνοητικό είδος εργασίας θα αναφέρεται σε εργασία για την οποία δεν δόθηκαν ολοκληρωμένες λεπτομέρειες κατά την διάρκεια προετοιμασίας της Προσφοράς. Νοείται, ότι τέτοια Εργασία θα εκτελείται μόνο με Αρχιτεκτονική Οδηγία .Τέτοια Εργασία σε περίπτωση που δεν εκτελεστεί θα αφαιρείται και δεν θα πληρώνεται. </t>
  </si>
  <si>
    <t>Ποσά Αρχικού Κόστους και Ποσά Προνοίας</t>
  </si>
  <si>
    <t>Συμπεριλήφθηκαν στα Δελτία Επιμετρηθεισών και Υπολογισθεισών Εργασιών Ποσά Αρχικού Κόστους ή/και Ποσά Προνοίας για Διορισμένους Υπεργολάβους ή για Προμηθευτές ή για την εκτέλεση διαφόρων εργασιών. Κατά την τακτοποίηση των Τελικών Λογαριασμών τα ποσά αυτά δεν θα ληφθούν υπόψη και θα υπολογιστούν μόνο εκείνα που πραγματικά πληρώθηκαν από τους Εργολάβους.</t>
  </si>
  <si>
    <t>Διορισμένοι Υπεργολάβοι ή Προμηθευτές</t>
  </si>
  <si>
    <r>
      <t xml:space="preserve">Όλες οι Διορισμένες Υπεργολαβίες θα γίνονται σε έντυπα που εφαρμόζονται για τα </t>
    </r>
    <r>
      <rPr>
        <b/>
        <sz val="11"/>
        <rFont val="Arial"/>
        <family val="2"/>
      </rPr>
      <t>Συμβόλαια της ΜΕΔΣΚ (2ηΈκδοση: Μάρτιος 2021)</t>
    </r>
  </si>
  <si>
    <t>Γενικές και Ειδικές Ευκολίες</t>
  </si>
  <si>
    <t>Γενικές και Ειδικές Ευκολίες θα εννοεί τις πιο κάτω ευκολίες που θα παρέχει ο Εργολάβος γενικά, επιπρόσθετα με αυτές που αναφέρονται κάτω από άλλες επικεφαλίδες, καθώς επίσης και σε Διορισμένους Υπεργολάβους, Προμηθευτές, Τεχνίτες ή άλλους Εργολάβους του Εργοδότη.</t>
  </si>
  <si>
    <t>Ικριώματα</t>
  </si>
  <si>
    <t>Ειδικά ικριώματα</t>
  </si>
  <si>
    <t>Αποχωρητήρια</t>
  </si>
  <si>
    <t>Γραφεία και αποθήκες για φύλαξη υλικών και μηχανημάτων</t>
  </si>
  <si>
    <t>Παροχή νερού για τις Εργασίες</t>
  </si>
  <si>
    <t>Παροχή ηλεκτρικού ρεύματος για τα εργαλεία</t>
  </si>
  <si>
    <t>Παροχή φωτός</t>
  </si>
  <si>
    <t>Απομάκρυνση Σκουπιδιών</t>
  </si>
  <si>
    <t>Εκφόρτωση και Αποθήκευση υλικών</t>
  </si>
  <si>
    <t>Ανύψωση, μεταφορά, διανομή και τοποθέτηση υλικών και μηχανημάτων στον τόπο εκτέλεσης εργασίας</t>
  </si>
  <si>
    <t>Χώρους φαγητού</t>
  </si>
  <si>
    <t>Παροχή διαστάσεων</t>
  </si>
  <si>
    <t>Παροχή Χώρου εργασίας</t>
  </si>
  <si>
    <t>Κάλυψη και προστασία τελειωμένων τμημάτων των Εργασιών</t>
  </si>
  <si>
    <t>Πρόσβαση στο χώρο Εργοταξίου</t>
  </si>
  <si>
    <t>Σε σχέση  με τα πιο πάνω θα ισχύουν οι ακόλουθοι ορισμοί:</t>
  </si>
  <si>
    <t>"Εκφόρτωση και αποθήκευση" θα συμπεριλαμβάνει και</t>
  </si>
  <si>
    <t>εκφόρτωση όλων των μηχανημάτων και υλικών και αποθήκευση στο χώρο αποθηκεύσεως ή εντός της αποθήκης.</t>
  </si>
  <si>
    <t>"Ανύψωση, μεταφορά, διανομή, τοποθέτηση το σημείο εργασίας υλικών και μηχανημάτων" θα συμπεριλαμβάνει και την μεταφορά υλικών και μηχανημάτων από τον χώρο αποθηκεύσεως και ανύψωση ή κατέβασμα προς ή πλησίον της τελικής θέσης εφαρμογής.</t>
  </si>
  <si>
    <t>Ώρες Εργασίας Υπεργολάβων</t>
  </si>
  <si>
    <t>Ο Εργολάβος θα συμπεριλάβει για  οποιαδήποτε έξοδα λόγω εργασίας Υπεργολάβων ή άλλων Εργολάβων σε διαφορετικές ή περισσότερες ώρες από εκείνες που εργάζεται ο Εργολάβος.</t>
  </si>
  <si>
    <t>Προμήθεια μόνο ή Προμήθεια</t>
  </si>
  <si>
    <r>
      <t xml:space="preserve">Ο όρος ‘Προμήθεια μόνο’ στα Δελτία Επιμετρηθεισών και Υπολογισθεισών Εργασιών θα σημαίνει ότι ο Εργολάβος πρέπει να συμπεριλάβει το καθετί σε σχέση με αυτές τις Εργασίες </t>
    </r>
    <r>
      <rPr>
        <b/>
        <u/>
        <sz val="11"/>
        <rFont val="Arial"/>
        <family val="2"/>
      </rPr>
      <t>εκτός της τοποθέτησης.</t>
    </r>
  </si>
  <si>
    <t>Τοποθέτηση μόνο ή Τοποθέτηση</t>
  </si>
  <si>
    <t>Ο όρος ‘Τοποθέτηση μόνο’ ή ‘Τοποθέτηση’ στα Δελτία Επιμετρηθεισών και Υπολογισθεισών Εργασιών θα σημαίνει ότι ο Εργολάβος πρέπει να προνοήσει και να συμπεριλάβει για τις ακόλουθες ευκολίες:</t>
  </si>
  <si>
    <t>- Παραλαβή εμπορευμάτων και υλικών στο Εργοτάξιο.</t>
  </si>
  <si>
    <t>- Εκφόρτωση, μεταφορά και αποθήκευση, προστασία, προφύλαξη εμπορευμάτων και υλικών και πληρωμή των εξόδων μεταφοράς</t>
  </si>
  <si>
    <t>-Μεταφορά, ανύψωση,διανομή και τοποθέτηση στη θέση εφαρμογής</t>
  </si>
  <si>
    <t>-Απαιτούμενη συναρμολόγηση</t>
  </si>
  <si>
    <t>- Εφαρμογή και/ή τοποθέτηση στις Εργασίες όπως απαιτείται</t>
  </si>
  <si>
    <r>
      <t>Μηχανήματα, Εργαλεία, Οχήματα</t>
    </r>
    <r>
      <rPr>
        <sz val="11"/>
        <rFont val="Arial"/>
        <family val="2"/>
      </rPr>
      <t xml:space="preserve"> </t>
    </r>
  </si>
  <si>
    <t>Προμηθεύσατε όλα τα μηχανήματα, εργαλεία και οχήματα τα οποία είναι αναγκαία για την τέλεια αποπεράτωση της εργασίας συμπεριλαμβανομένων των μηχανημάτων για τις ανάγκες των Υπεργολάβων ή άλλων Εργολάβων.</t>
  </si>
  <si>
    <t>Προμηθεύσατε όλα τα εργαλεία και εξαρτήματα, προσωρινά υψομετρικά σημεία και εργάτες για την χάραξη και υψομέτρηση.</t>
  </si>
  <si>
    <t>Ασφάλεια, Υγιεινή και Ευημερία των Εργατών</t>
  </si>
  <si>
    <t>Συμπεριλάβατε όλα τα έξοδα για την συμμόρφωση προς όλους τους κανονισμούς για ασφάλεια, υγιεινή και ψυχαγωγία του προσωπικού Εργοταξίου συμπεριλαμβανομένων και των Υπεργολάβων. Οτιδήποτε καταλύματα κατασκευαστούν να μετακινηθούν και αποσυναρμολογηθούν μετά την αποπεράτωση του Έργου.</t>
  </si>
  <si>
    <t>Πίνακες κοπής Οπλισμού</t>
  </si>
  <si>
    <r>
      <t xml:space="preserve">Κατασκευή σχεδίων οπλισμών σκυροδέματος και πινάκων κοπής και κάμψης οπλισμών (Bending Schedules) σύμφωνα με το Βρετανικό Πρότυπο 4466 και υποβολή στον Αρχιτέκτονα/Μηχανικό για έγκριση το αργότερο </t>
    </r>
    <r>
      <rPr>
        <b/>
        <sz val="11"/>
        <rFont val="Arial"/>
        <family val="2"/>
      </rPr>
      <t>4 εβδομάδες πριν από την ημερoμηνία εκτέλεσης των Εργασιών</t>
    </r>
    <r>
      <rPr>
        <sz val="11"/>
        <rFont val="Arial"/>
        <family val="2"/>
      </rPr>
      <t>.</t>
    </r>
  </si>
  <si>
    <t>Η έγκαιρη υποβολή, καθώς και η έγκριση των πινάκων κοπής και κάμψης οπλισμού, είναι απαραίτητη προϋπόθεση για να πληρωθεί οποιαδήποτε ποσότητα οπλισμού.</t>
  </si>
  <si>
    <t>Πρόγραμμα Εργασίας</t>
  </si>
  <si>
    <r>
      <rPr>
        <b/>
        <sz val="11"/>
        <rFont val="Arial"/>
        <family val="2"/>
      </rPr>
      <t>Σε διάστημα δεκατεσσάρων ημερών από την ημερομηνία αποστολής Ειδοποίησης Αποδοχής Προσφοράς, ο Εργολάβος να υποβάλει στον Αρχιτέκτονα προτεινόμενο λεπτομερές Πρόγραμμα εργασίας</t>
    </r>
    <r>
      <rPr>
        <sz val="11"/>
        <rFont val="Arial"/>
        <family val="2"/>
      </rPr>
      <t>, το οποίο να συμπεριλαμβάνει τις εργασίες των Διορισμένων Υπεργολάβων, Προμηθευτών, Τεχνιτών και Ημικρατικών Οργανισμών ή άλλων Τοπικών Αρχών. Το πρόγραμμα θα τυγχάνει της αποδοχής του Αρχιτέκτονα.</t>
    </r>
  </si>
  <si>
    <t>Η αποδοχή του προγράμματος από τον Αρχιτέκτονα δεν απαλλάτει τον Εργολάβο από οποιεσδήποτε ευθύνες ή υποχρεώσεις του σύμφωνα με το Συμβόλαιο.</t>
  </si>
  <si>
    <t>Ημερολόγιο Έργου</t>
  </si>
  <si>
    <t>Ο Εργολάβος θα πρέπει να διατηρεί στο χώρο Εργοταξίου, Ημερολόγιο Έργου σε έντυπο που θα υποδειχθεί από τον Αρχιτέκτονα.</t>
  </si>
  <si>
    <t>Στο Ημερολόγιο θα καταγράφονται καθημερινά οι Εργασίες που έχουν εκτελεστεί, ο αριθμός του απασχολημένου προσωπικού, ο μηχανικός εξοπλισμός, τα υλικά που παρελήφθησαν, στοιχεία δειγματοληψίας και δοκιμών, οι καιρικές συνθήκες και άλλο επιπρόσθετο στοιχείο απαιτηθεί από τον Αρχιτέκτονα.</t>
  </si>
  <si>
    <t>Ειδοποίηση για Εκτέλεση Εργασιών</t>
  </si>
  <si>
    <t>Ο Εργολάβος υποχρεούται να δίνει στον Αρχιτέκτονα, γραπτή έγκαιρη ειδοποίηση, τουλάχιστον 48 ωρών (δεν συμπεριλαμβάνονται οι αργίες και τα Σαββατοκύριακα), για την πρόθεση του να προβεί στην εκτέλεση οποιασδήποτε εργασίας ώστε να μπορεί ο Αρχιτέκτονας, να διευθετήσει την επίβλεψη της.</t>
  </si>
  <si>
    <t>Αφανείς Εργασίες</t>
  </si>
  <si>
    <t>Καμία εργασία της οποίας ο έλεγχος εκ των υστέρων είναι αδύνατος, όπως εργασίες θεμελίωσης, αποχετεύσεων, σωληνώσεων, οπλισμού σκυροδέματος κλπ, επιτρέπεται να καλυφθεί προτού ληφθεί η έγκριση του Αρχιτέκτονα.</t>
  </si>
  <si>
    <t>Ωράριο Εργασίας</t>
  </si>
  <si>
    <t>Το ωράριο Εργασίας θα είναι σύμφωνα με το επίσημο ωράριο εργασίας Οικοδομικών Έργων που καθορίζεται από την νομοθεσία ή άλλες Συλλογικές Συμβάσεις.</t>
  </si>
  <si>
    <t>Σε περιπτώσεις που ο Εργολάβος εργαστεί υπερωριακά θα πρέπει να ειδοποιεί έγκαιρα τον Αρχιτέκτονα και να λαμβάνει την συγκατάθεση του.</t>
  </si>
  <si>
    <t>Ηχορύπανση και ρύπανση του περιβάλλοντος</t>
  </si>
  <si>
    <t>Ο Εργολάβος να λάβει τα δέοντα μέτρα για τον περιορισμό του επιπέδου ηχορύπανσης, κραδασμών, σκόνης και ρύπανσης του περιβάλλοντος στο ελάχιστο.</t>
  </si>
  <si>
    <t>Τα μηχανήματα που θα χρησιμοποιηθούν στο Εργοτάξιο θα λειτουργούν αποκλειστικά με ηλεκτρισμό και θα είναι χαμηλού επιπέδου θορύβου.</t>
  </si>
  <si>
    <t>Κατά τους καλοκαιρινούς μήνες ο Εργολάβος να συντονίζει το πρόγραμμα Εργασιών ώστε κατά την ώρα της μεσημβρινής αργίας να μην υπάρχουν σε λειτουργία θορυβώδη μηχανήματα.</t>
  </si>
  <si>
    <t>Χάραξη</t>
  </si>
  <si>
    <t>Ο Εργολάβος είναι αποκλειστικά υπεύθυνος για την χάραξη και εφαρμογή του σχεδίου και υποχρεούται να διορθώσει, με δικά του έξοδα, οποιαδήποτε λάθη ή παραλείψεις.</t>
  </si>
  <si>
    <t>Καθορισμός στάθμης αναφοράς</t>
  </si>
  <si>
    <t>Όλα τα υφιστάμενα και τελικά υψόμετρα σχεδίων αναφέρονται επί των σχεδίων.</t>
  </si>
  <si>
    <t>Πριν την έναρξη των Εργασιών ο Εργολάβος υποχρεούται να υψομετρήσει λεπτομερώς το χώρο Εργοταξίου.</t>
  </si>
  <si>
    <t>Έξοδα Διεύθυνσης Εργοταξίου</t>
  </si>
  <si>
    <t>Έξοδα εργατικών</t>
  </si>
  <si>
    <t>Να συμπεριλάβετε για όλα τα έξοδα, πληρωμές και δαπάνες για όλο το προσωπικό.</t>
  </si>
  <si>
    <t>Προφύλαξη των Εργασιών</t>
  </si>
  <si>
    <t>Προφυλάξατε τις Εργασίες, υλικά και μηχανήματα από ζημιές ή κλοπές και για τη προστασία του κοινού.</t>
  </si>
  <si>
    <t>Διατήρηση των Οδών</t>
  </si>
  <si>
    <t xml:space="preserve">Ο Εργολάβος θα είναι υπεύθυνος για τη διατήρηση των δημόσιων και ιδιωτικών οδών, πεζοδρομίων. </t>
  </si>
  <si>
    <t>Επίσης ο Εργολάβος θα διατηρεί τις εισόδους του χώρου εργοταξίου καθαρές από εκσκαφέντα υλικά, λάσπη και σκουπίδια. Ο Εργολάβος θα αποκαταστήσει οποιανδήποτε ζημιά σε σχέση με ζημιές που θα προκληθούν λόγω της χρήσης αυτής.</t>
  </si>
  <si>
    <t>Προστασία Θάμνων και Δέντρων</t>
  </si>
  <si>
    <t>Ο Εργολάβος θα είναι υπεύθυνος να λαμβάνει τα δέοντα μέτρα για την προστασία των υφιστάμενων δέντρων και θάμνων. Ανεξαρτήτως το τι αναφέρεται ή δεικνύεται στα Έγγραφα Συμβολαίου, ο Εργολάβος θα ενημερώνει γραπτώς τον Αρχιτέκτονα εκ των προτέρων για οποιαδήποτε εργασία αποκοπής δέντρου ή/και θάμνου. Νοείται, ότι καμία εργασία αποκοπής δέντρου ή/και θάμνου θα εκτελείται χωρίς την γραπτή συγκατάθεση του Αρχιτέκτονα.</t>
  </si>
  <si>
    <t>Υφιστάμενες υπηρεσίες</t>
  </si>
  <si>
    <t>Ο Εργολάβος να καθορίσει την θέση οποιωνδήποτε υφισταμένων καλωδίων ή σωληνώσεων (εναερίων ή υπογείων). Τέτοια καλώδια και σωληνώσεις  που θα ανευρεθούν κατά την διάρκεια των Εργασιών θα προστατεύονται, θα στηρίζονται προσωρινά και θα επανατοποθετούνται σύμφωνα με τις οδηγίες του Αρχιτέκτονα.</t>
  </si>
  <si>
    <t>Νερό για τις Εργασίες</t>
  </si>
  <si>
    <t>Ο Εργολάβος να αναλάβει για την προμήθεια νερού για όλες τις ανάγκες του εργοταξίου και για την εκτέλεση των Εργασιών. Ο Εργοδότης δεν θα έχει οποιαδήποτε υποχρέωση να κάνει οποιεσδήποτε ενέργειες ή πληρωμές σε σχέση με την προμήθεια νερού στα σύνορα του Εργοταξίου.</t>
  </si>
  <si>
    <t>Εκτελέσατε όλες τις αναγκαίες διευθετήσεις προς το σκοπό αυτό και συμπεριλάβετε όλα τα έξοδα για ένωση, διακλάδωση και απομάκρυνση μετά την αποπεράτωση των Εργασιών.</t>
  </si>
  <si>
    <t>Προσωρινός Φωτισμός και παροχή ηλεκτρικού ρεύματος για τις Εργασίες</t>
  </si>
  <si>
    <t>Προμηθεύσατε προσωρινό φωτισμό και ηλεκτρικό ρεύμα για την εκτέλεση των Εργασιών και όλο τον απαραίτητο εξοπλισμό σύμφωνα με τους κανονισμούς και υποδείξεις της Αρχής Ηλεκτρισμού Κύπρου.</t>
  </si>
  <si>
    <t>Απομακρύνατε και αποκαταστήσατε μετά την αποπεράτωση των Εργασιών.</t>
  </si>
  <si>
    <t>Προσωρινή Περίφραξη Εργοταξίου</t>
  </si>
  <si>
    <t xml:space="preserve">Προμηθεύσατε και διατηρήσατε όλη την απαραίτητη περίφραξη για το χώρο Εργοταξίου και απομακρύνετε μετά την αποπεράτωση των Εργασιών. </t>
  </si>
  <si>
    <t>Γενικά Ικριώματα</t>
  </si>
  <si>
    <t>Προμηθεύσατε όλα τα αναγκαία προσωρινά ικριώματα συμπεριλαμβανομένων και εκείνων για τα ταβάνια οποιουδήποτε ύψους για την πλήρη αποπεράτωση των Εργασιών.</t>
  </si>
  <si>
    <t>Προσωρινές Εγκαταστάσεις Εργοταξίου</t>
  </si>
  <si>
    <t>Προμηθεύσατε και διατηρήσατε προσωρινές εγκαταστάσεις για την  αποθήκευση των υλικών, εργαλείων και μηχανημάτων και για τις ανάγκες του προσωπικού Εργοταξίου.</t>
  </si>
  <si>
    <t>Απομακρύνετε μετά το τέλος των Εργασιών.</t>
  </si>
  <si>
    <t>Προσωρινά αποχωρητήρια</t>
  </si>
  <si>
    <t>Προμηθεύσατε και διατηρήσατε σε καθαρή και υγιεινή κατάσταση επαρκή προσωρινά αποχωρητήρια και αποδυτήρια για το προσωπικό του Εργοταξίου.</t>
  </si>
  <si>
    <t>Πινακίδες Έργου</t>
  </si>
  <si>
    <t>Ο Εργολάβος θα προμηθεύσει και τοποθετήσει στηρίγματα για τοποθέτηση πινακίδων των Συμβούλων του Έργου, Εργολάβου και Διορισμένων Υπεργολάβων. Απομάκρυνση στηριγμάτων ένα χρόνο μετά την αποπεράτωση των Εργασιών. Οι Πινακίδες για τον Εργολάβο και των Συμβούλων του Έργου θα προμηθευτούν και τοποθετηθούν με ευθύνη και έξοδα του Εργολάβου.</t>
  </si>
  <si>
    <t>Φωτογραφίες</t>
  </si>
  <si>
    <t>O Εργολάβος οφείλει να φωτογραφίζει την πρόοδο των Εργασιών, συμφώνως των οδηγιών του Αρχιτέκτονα. Φωτογραφίες των αφανών εργασιών (οπλισμός, αποχετεύσεις, σωληνώσεις υπηρεσιών κοινής ωφέλειας, κλπ.) είναι απαραίτητες. Ο Εργολάβος θα ετοιμάζει τρία αντίγραφα των φωτογραφιών, σε ηλεκτρονική μορφή, ένα για τον Αρχιτέκτονα, ένα για τον Επιμετρητή και ένα για το Εργοτάξιο.</t>
  </si>
  <si>
    <t>Οι φωτογραφίες θα υποβάλλονται σε ηλεκτρονική μορφή καταγραμμένες σε ψηφιακό δίσκο CD και θα είναι τύπου “JPG”, “TIFF” και όχι μικρότερης ανάλυσης από 3.200.000 pixels (2048 X1536).</t>
  </si>
  <si>
    <t>Προσωρινά Γραφεία και εγκαταστάσεις για το προσωπικό του Εργολάβου, των Υπεργολάβων και άλλων Υπεργολάβων</t>
  </si>
  <si>
    <t>Ο Εργολάβος θα προμηθεύσει και διατηρήσει ικανοποιητικό χώρο γραφείων και άλλων προσωρινών κτιρίων και εγκαταστάσεων για χρήση από το προσωπικό του Εργολάβου, Υπεργολάβων και άλλων εργολάβων.</t>
  </si>
  <si>
    <t>Για συνεδριάσεις στο Εργοτάξιο προμηθεύσατε και διατηρήσατε χώρο γραφείου για 20 άτομα πλήρως εξοπλισμένο με σύστημα κλιματισμού (κρύο / θέρμανση), φωτισμό, τραπέζι συνεδριάσεων με αντίστοιχο αριθμό καρεκλών, γραφεία και οποιονδήποτε άλλων κινητών επίπλων, πίνακα, εξοπλισμό ασφαλείας,(κράνη, γιλέκα, κλπ.). Τα γραφεία θα τύχουν της έγκρισης του Αρχιτέκτονα. Ο χώρος του γραφείου θα είναι διατηρημένος σε καθαρή και ευπαρουσίαστη κατάσταση.</t>
  </si>
  <si>
    <t>Συμπεριλάβατε για τυχόν αναγκαία πολλαπλή μετακίνηση τους εντός του Εργοταξίου.</t>
  </si>
  <si>
    <t>Ο Εργολάβος θα προμηθεύει όλη την απαραίτητη γραφική ύλη για τις ανάγκες του γραφείου του εργοταξίου για χρήση από το προσωπικό του Εργοδότη.</t>
  </si>
  <si>
    <t>Ο Εργολάβος θα διατηρεί στο Εργοτάξιο μία πλήρη σειρά σχεδίων ενημερωμένα με τις τελευταίες αλλαγές συμπεριλαμβανομένων των σχεδίων Διορισμένων Υπεργολαβιών και όλων των εγγράφων του Κυρίως Συμβολαίου και Διορισμένων Υπεργολαβιών που θα χρησιμοποιούνται μόνο για τους σκοπούς του παρόντος Συμβολαίου.</t>
  </si>
  <si>
    <t>Ο Εργολάβος θα συμπεριλάβει τα οποιαδήποτε έξοδα προκύπτουν από την ετοιμασία αντιγράφων και παραχώρηση των οποιονδήποτε σχεδίων και λεπτομερειών ζητηθούν από τους Διορισμένους Υπεργολάβους. Η παραχώρηση των σχεδίων και λεπτομερειών θα γίνεται κατόπιν οδηγίας του Αρχιτέκτονα.</t>
  </si>
  <si>
    <t>Ο Εργολάβος να διαθέτει δωμάτιο, τουλάχιστον 15m² με ράφια στο οποίο να εκτίθενται αριθμημένα όλα τα εγκριμένα υλικά (mock-up room)</t>
  </si>
  <si>
    <t>Ο Εργολάβος θα απομακρύνει τις εγκαταστάσεις αυτές μετά την αποπεράτωση των Εργασιών.</t>
  </si>
  <si>
    <t>Προστασία, Αποξήρανση,Καθαρισμός  και Δοκιμή των Εργασιών</t>
  </si>
  <si>
    <t>Συμπεριλάβατε για την προσωρινή κάλυψη, επικάλυψη, προστασία και τα παρόμοια για να επιβεβαιωθεί ότι όλες οι Εργασίες και γειτονικές περιουσίες είναι πλήρως και ικανοποιητικά προστατευμένες. Οι Εργασίες να παραδοθούν καθαρές από σκόνη, σκουπίδια και χωρίς οποιεσδήποτε ατέλειες και σε πλήρη λειτουργία.</t>
  </si>
  <si>
    <t>Ο Εργολάβος να φροντίσει για την απομάκρυνση όλων των ακαθαρσιών μετά την αποπεράτωση των Εργασιών καθώς και για την γενική καθαριότητα του κτιρίου εσωτερικά και εξωτερικά.</t>
  </si>
  <si>
    <r>
      <t>Εγγύηση Συμμετοχής (Tender Bond)</t>
    </r>
    <r>
      <rPr>
        <b/>
        <sz val="11"/>
        <rFont val="Arial"/>
        <family val="2"/>
      </rPr>
      <t xml:space="preserve"> (Δεν εφαρμόζεται)</t>
    </r>
  </si>
  <si>
    <t>Ο Εργολάβος θα πρέπει να υποβάλει μαζί με την προσφορά του Εγγύηση Συμμετοχής (Tender Bond) από μία εγκεκριμένη Τράπεζα που λειτουργεί στην Κυπριακή Δημοκρατία.</t>
  </si>
  <si>
    <t>Διευκολύνσεις προς τον Αρχιτέκτονα και τον Επιμετρητή Ποσοτήτων</t>
  </si>
  <si>
    <t xml:space="preserve">Ο Εργολάβος να επιτρέψει στον Αρχιτέκτονα να χρησιμοποιεί θεοδόλιχο, χωροβάτη και άλλα όργανα αναγκαία για τον έλεγχο των Εργασιών στο </t>
  </si>
  <si>
    <t>χώρο Εργοταξίου.</t>
  </si>
  <si>
    <t xml:space="preserve">Άλλοι Εργολάβοι, Τεχνίτες, Καλλιτέχνες </t>
  </si>
  <si>
    <t>Κάποιες εργασίες όπως ξυλουργικές Εργασίες, ηλεκτρομηχανολογικές εγκαταστάσεις, μεταλλικές εργασίες κ.λπ θα εκτελεστούν από άλλους εργολάβους που θα έχουν συμβληθεί ξεχωριστά με τον Εργοδότη. Ο Εργολάβος θα είναι υποχρεωμένος να επιτρέψει την είσοδο τους στο χώρο εργοταξίου και να παρέχει οικοδομική βοήθεια, γενικές και ειδικές ευκολίες σε σχέση με τις εργασίες αυτές.</t>
  </si>
  <si>
    <t>Εγγυητική για Προκαταβολή</t>
  </si>
  <si>
    <r>
      <t xml:space="preserve">Σύμφωνα με τους όρους του Συμβολαίου, η Τραπεζική Εγγύηση που θα παρουσιάσει ο Εργολάβος για την πληρωμή της Προκαταβολής θα είναι από εγκεκριμένο Τραπεζικό Οργανισμό </t>
    </r>
    <r>
      <rPr>
        <b/>
        <sz val="11"/>
        <rFont val="Arial"/>
        <family val="2"/>
      </rPr>
      <t>για το ποσό που καθορίζουν οι όροι του Συμβολαίου (εξαιρουμένου του ΦΠΑ).</t>
    </r>
  </si>
  <si>
    <t>Ασφάλειες Εργασιών (C.A.R, Employer’s Liability, Third Party)</t>
  </si>
  <si>
    <t>Ο Εργολάβος θα θέσει και διατηρεί σε ισχύ ασφάλειες για τις εργασίες και το προσωπικό σύμφωνα με τους όρους του Συμβολαίου.</t>
  </si>
  <si>
    <t>Εγγύηση Πιστής Εκτέλεσης</t>
  </si>
  <si>
    <r>
      <t xml:space="preserve">Σύμφωνα με τους όρους του Συμβολαίου, ο επιτυχών προσφοροδότης θα προμηθεύσει Τραπεζική εγγύηση από εγκεκριμένο Τραπεζικό Οργανισμό  </t>
    </r>
    <r>
      <rPr>
        <b/>
        <sz val="11"/>
        <rFont val="Arial"/>
        <family val="2"/>
      </rPr>
      <t>για το ποσό που καθορίζουν οι όροι του Συμβολαίου (εξαιρουμένου του ΦΠΑ).</t>
    </r>
  </si>
  <si>
    <t>Μη Διορισμένοι Υπεργολάβοι και Προμηθευτές</t>
  </si>
  <si>
    <t>Ο Εργολάβος οφείλει να υποβάλει προς τον Αρχιτέκτονα κατάλογο Υπεργολάβων και προμηθευτών με τους οποίους προτίθεται να συνεργαστεί στο Έργο. Όλοι οι Υπεργολάβοι θα πρέπει να τύχουν της έγκρισης του Αρχιτέκτονα ο οποίος έχει και το δικαίωμα να τους απορρίψει.</t>
  </si>
  <si>
    <t>Πυρασφάλεια</t>
  </si>
  <si>
    <t>Ο Εργολάβος να λάβει όλα τα απαραίτητα προστατευτικά μέτρα και να διαθέτει τα πυροσβεστικά μέσα που απαιτούνται για την πυρασφάλεια στο χώρο των Εργασιών.</t>
  </si>
  <si>
    <t>Χαρτοσήμανση Συμβολαίου</t>
  </si>
  <si>
    <t>Ο Εργολάβος να συμπεριλάβει για όλα τα έξοδα για την χαρτοσήμανση του Συμβολαίου σύμφωνα με τις πρόνοιες τις Κυπριακής νομοθεσίας Άρθρο 34(1) του περί χαρτοσήμων Νόμου.</t>
  </si>
  <si>
    <t>Διαχείριση Στερεών και Επικίνδυνων Αποβλήτων</t>
  </si>
  <si>
    <t>Ο Εργολάβος έχει υποχρέωση σε όλη τη διάρκεια του Έργου, να διατηρεί το Εργοτάξιο καθαρό από άχρηστα υλικά και ακαθαρσίες τα οποία και θα απομακρύνει σε τακτά διαστήματα προς πλήρη ικανοποίηση του Αρχιτέκτονα.</t>
  </si>
  <si>
    <t>Νοείται ότι οποιαδήποτε άχρηστα υλικά θα πρέπει να τύχουν της απαραίτητης διαχείρισης σύμφωνα με τους των Περί Στερεών και Επικίνδυνων Αποβλήτων (Διαχείριση Αποβλήτων από Εκσκαφές, Κατασκευές και Κατεδαφίσεις) Κανονισμών του 2011 (ΚΔΠ159/2011).</t>
  </si>
  <si>
    <t>Χωρίς να περιορίζονται οι άλλες νομικές και/ή άλλες υποχρεώσεις, ευθύνες και καθήκοντα του Εργολάβου, ο Εργολάβος, πριν την έναρξη εκτέλεσης του Έργου, υποχρεούται όπως ετοιμάσει ολοκληρωμένο το σχέδιο διαχείρισης αποβλήτων, με βάση την παράγραφο 7(1)(α) των Περί Στερεών και Επικίνδυνων Αποβλήτων (Διαχείριση Αποβλήτων από Εκσκαφές, Κατασκευές και Κατεδαφίσεις) Κανονισμών του 2011 (ΚΔΠ159/2011), όπως αυτοί εκάστοτε τροποποιούνται ή αντικαθίστανται, του οποίου θα έχει την πλήρη ευθύνη για την ορθότητα και τη φύλαξη του στο εργοτάξιο και θα το θέτει στη διάθεση των Επιθεωρητών ή άλλων εκπροσώπων του Υπουργείου Εσωτερικών ή άλλης Αρμόδιας Αρχής, όποτε αυτό του ζητηθεί.</t>
  </si>
  <si>
    <t>Ο Εργολάβος να υποβάλει στον Εργοδότη τη σχετική άδεια, δική του, ή του Υπεργολάβου πριν τη διαχείριση οποιωνδήποτε αποβλήτων.</t>
  </si>
  <si>
    <t>Εάν ο Εργολάβος ή ο Φορέας στον οποίο θα στηριχτεί, απορρίψει υλικά ανεξέλεγκτα στην ύπαιθρο ή άλλους χώρους, θα είναι υπόχρεος να τα μετακινήσει και να επαναφέρει τους χώρους στην αρχική τους κατάσταση με δικά τους έξοδα και να τα διαχειριστεί σύμφωνα με τις πιο πάνω παραγράφους.</t>
  </si>
  <si>
    <t>Σε περίπτωση όπου ο Εργολάβος θα διαχειριστεί ο ίδιος τα απόβλητα, υποχρεούται όπως, πριν την έναρξη των Εργασιών, να υποβάλει στον Εργοδότη την εν ισχύ σχετική άδεια, Διαχείρισης Αποβλήτων που να αφορά τη συλλογή, τη μεταφορά και την επεξεργασία των συγκεκριμένων κατηγοριών αποβλήτων που προκύπτουν από τις δραστηριότητες που διενεργεί για ολοκλήρωση των προνοιών της σύμβασης αυτής. Η Άδεια εκδίδεται από το Υπουργείο Εσωτερικών με βάση των Περί Αποβλήτων Νόμο 185 (1) 2011.</t>
  </si>
  <si>
    <t>Νόμος περί Ασφάλειας και Υγείας στην Εργασία</t>
  </si>
  <si>
    <t>Πέραν των όσων άλλων αναφέρονται στα Έγγραφα Προσφορών και χωρίς να περιορίζονται οι άλλες νομικές και/ ή άλλες υποχρεώσεις, ευθύνες και καθήκοντα του Εργολάβου, ο Εργολάβος θα συμμορφώνεται με τους περί Ασφάλειας και Υγείας στην εργασία Νόμους του 1996 έως 2015.</t>
  </si>
  <si>
    <r>
      <t xml:space="preserve">Ο Εργολάβος ενημερώνεται ότι στο παρόν Έργο ισχύουν οι περί Ασφάλειας και Υγείας (Ελάχιστες Προδιαγραφές για Προσωρινά ή Κινητά εργοτάξια) κανονισμοί του 2015 (Κ.Δ.Π. 410/2015) και για το σκοπό αυτό έχει καταρτιστεί σχετικό </t>
    </r>
    <r>
      <rPr>
        <b/>
        <sz val="11"/>
        <rFont val="Arial"/>
        <family val="2"/>
      </rPr>
      <t>Σχέδιο Ασφάλειας και Υγείας</t>
    </r>
    <r>
      <rPr>
        <sz val="11"/>
        <rFont val="Arial"/>
        <family val="2"/>
      </rPr>
      <t xml:space="preserve"> </t>
    </r>
    <r>
      <rPr>
        <b/>
        <sz val="11"/>
        <rFont val="Arial"/>
        <family val="2"/>
      </rPr>
      <t>κατά την Εκπόνηση της Μελέτης του Έργου</t>
    </r>
    <r>
      <rPr>
        <sz val="11"/>
        <rFont val="Arial"/>
        <family val="2"/>
      </rPr>
      <t xml:space="preserve"> προς ενημέρωση του Εργολάβου, σύμφωνα με τις πρόνοιες των Κανονισμών.</t>
    </r>
  </si>
  <si>
    <r>
      <t>Το Σχέδιο Ασφάλειας και Υγείας Κατά την Εκπόνηση της Μελέτης του Έργου αποτελεί μέρος των Εγγράφων Προσφοράς</t>
    </r>
    <r>
      <rPr>
        <sz val="11"/>
        <rFont val="Arial"/>
        <family val="2"/>
      </rPr>
      <t xml:space="preserve"> και κατ' επέκταση των Όρων του Συμβολαίου.</t>
    </r>
  </si>
  <si>
    <r>
      <t xml:space="preserve">Ο Εργολάβος έχει υποχρέωση να ετοιμάσει και να θέσει σε εφαρμογή το </t>
    </r>
    <r>
      <rPr>
        <b/>
        <sz val="11"/>
        <rFont val="Arial"/>
        <family val="2"/>
      </rPr>
      <t>Σχέδιο Ασφάλειας και Υγείας κατά την Εκτέλεση του Έργου</t>
    </r>
    <r>
      <rPr>
        <sz val="11"/>
        <rFont val="Arial"/>
        <family val="2"/>
      </rPr>
      <t xml:space="preserve"> (εντός των 15 ημερών από την ημερομηνία έκδοσης της επιστολής αποδοχής της Προσφοράς του) βάση της ισχύουσας νομοθεσίας και περιλαμβάνοντας και επεκτείνοντας τα ζητήματα που απορρέουν από το Σχέδιο Ασφάλειας και Υγείας Κατά την Εκπόνηση της Μελέτης ή άλλα ζητήματα που θα επισημανθούν από τον Εργολάβο και απορρέουν από τη δική του εμπειρία και τη διαδικασία κατασκευής που θα επιλέξει για διεξαγωγή της κάθε εργασίας όπως και τις εργασίες των Διορισμένων Υπεργολάβων, άλλων υπεργολάβων ή εργολάβων, Ημικρατικών Οργανισμών και Αρχών. </t>
    </r>
    <r>
      <rPr>
        <b/>
        <sz val="11"/>
        <rFont val="Arial"/>
        <family val="2"/>
      </rPr>
      <t>Το Σχέδιο Ασφάλειας και Υγείας Κατά την Εκτέλεση του Έργου</t>
    </r>
    <r>
      <rPr>
        <sz val="11"/>
        <rFont val="Arial"/>
        <family val="2"/>
      </rPr>
      <t>, θα πρέπει να συνάδει και να περιλαμβάνει το Πρόγραμμα Εργασιών και να αναπροσαρμόζεται από τον Εργολάβο ανάλογα, σύμφωνα με την πρόοδο, φύση και εκτέλεση των Εργασιών.</t>
    </r>
  </si>
  <si>
    <t>Ο Εργολάβος θα είναι υπεύθυνος για τη συλλογή όλων των απαραιτήτων πληροφοριών που απαιτούνται για τη δημιουργία και συμπλήρωση του Φακέλου Ασφάλειας και Υγείας του Έργου.</t>
  </si>
  <si>
    <r>
      <t xml:space="preserve">Κατά την ημέρα της Έμπρακτης Συμπλήρωσης των Εργασιών, ο Εργολάβος θα έχει υποχρέωση να παραδώσει πλήρως ενημερωμένο τον </t>
    </r>
    <r>
      <rPr>
        <b/>
        <sz val="11"/>
        <rFont val="Arial"/>
        <family val="2"/>
      </rPr>
      <t>Φάκελο Ασφάλειας και Υγείας του Έργου</t>
    </r>
    <r>
      <rPr>
        <sz val="11"/>
        <rFont val="Arial"/>
        <family val="2"/>
      </rPr>
      <t xml:space="preserve"> στον Αρχιτέκτονα /Συντονιστή για θέμα Ασφάλειας και Υγείας Κατά την Εκπόνηση της Μελέτης.</t>
    </r>
  </si>
  <si>
    <t>Υποχρέωση εφαρμογής ειδικών προληπτικών και προστατευτικών μέτρων (οργανωτικών και τεχνικών) για την αποτελεσματική διαχείριση του κινδύνου μόλυνσης από τον ιό Covid-19 κατά την εκτέλεση εργασιών σε εργοτάξια.</t>
  </si>
  <si>
    <t>Κατά τη διάρκεια της πανδημίας κορωνοϊού, σύμφωνα με τον Οδηγό Διαχείρισης της Πανδημίας COVID-19 του τμήματος Επιθεώρησης Εργασίας και με αναφορά στους κανονισμούς περί Ασφάλειας και Υγείας στην Εργασία (Ελάχιστες Προδιαγραφές για Προσωρινά ή Κινητά Εργοτάξια) Κανονισμοί του 2015 (Κ.Δ.Π. 410/2015) και περί Διαχείριση Θεμάτων Ασφαλείας και Υγείας στην Εργασία Κανονισμοί του 2002 (Κ.Δ.Π. 173/2002), ο Εργολάβος πρέπει να επικαιροποιεί  γραπτή εκτίμηση κινδύνου στην οποία θα αναγνωρίζονται όλοι οι κίνδυνοι μόλυνσης από τον ιό COVID-19 και την εφαρμογή αναγκαίων προληπτικών και προστατευτικών μέτρων για την προστασία της ασφαλείας και υγείας των εργαζομένων και τρίτων προσώπων που μπορεί να επηρεαστούν.</t>
  </si>
  <si>
    <t>ΣΥΝΟΛΟ ΠΡΟΚΑΤΑΡΤΙΚΩΝ</t>
  </si>
  <si>
    <t>Σελίδα 1/1</t>
  </si>
  <si>
    <t>Σελίδα 1/2</t>
  </si>
  <si>
    <t>Σελίδα 1/3</t>
  </si>
  <si>
    <t>Σελίδα 1/4</t>
  </si>
  <si>
    <t>Σελίδα 1/5</t>
  </si>
  <si>
    <t>Σελίδα 1/6</t>
  </si>
  <si>
    <t>Σελίδα 1/7</t>
  </si>
  <si>
    <t>Σελίδα 1/8</t>
  </si>
  <si>
    <t>Σελίδα 1/9</t>
  </si>
  <si>
    <t>Σελίδα 1/10</t>
  </si>
  <si>
    <t>Σελίδα 1/11</t>
  </si>
  <si>
    <t>Σελίδα 1/12</t>
  </si>
  <si>
    <t>Σελίδα 1/13</t>
  </si>
  <si>
    <t>Σελίδα 1/14</t>
  </si>
  <si>
    <t>Σελίδα 1/15</t>
  </si>
  <si>
    <t>Σελίδα 1/16</t>
  </si>
  <si>
    <t>Σελίδα 1/17</t>
  </si>
  <si>
    <t>Σελίδα 1/18</t>
  </si>
  <si>
    <t>Σελίδα 1/19</t>
  </si>
  <si>
    <t>Σελίδα 1/20</t>
  </si>
  <si>
    <t>Σελίδα 1/21</t>
  </si>
  <si>
    <t>Σελίδα 1/22</t>
  </si>
  <si>
    <t>Σελίδα 1/23</t>
  </si>
  <si>
    <t>Σελίδα 13/1</t>
  </si>
  <si>
    <t>Σελίδα 13/2</t>
  </si>
  <si>
    <t>Σελίδα 13/3</t>
  </si>
  <si>
    <t>Σελίδα 13/4</t>
  </si>
  <si>
    <r>
      <t>Οι Εργασίες θα περιλαμβάνουν κατεδαφίσεις , μετατροπές , προσθήκες</t>
    </r>
    <r>
      <rPr>
        <b/>
        <sz val="11"/>
        <rFont val="Arial"/>
        <family val="2"/>
      </rPr>
      <t xml:space="preserve">   </t>
    </r>
    <r>
      <rPr>
        <sz val="11"/>
        <rFont val="Arial"/>
        <family val="2"/>
      </rPr>
      <t>σύμφωνα με τα Σχέδια, τη Συγγραφή Υποχρεώσεων  ή/και όπως ζητηθεί από τον Αρχιτέκτονα.</t>
    </r>
  </si>
  <si>
    <r>
      <t xml:space="preserve">Η τοποθεσία του Εργοταξίου βρίσκεται </t>
    </r>
    <r>
      <rPr>
        <b/>
        <sz val="11"/>
        <rFont val="Arial"/>
        <family val="2"/>
      </rPr>
      <t>στις Πλάτρες επαρχία Λεμεσού</t>
    </r>
  </si>
  <si>
    <t>Ο Εργολάβος συμβουλεύεται όπως πριν από την υποβολή της Προσφοράς του, επισκεφθεί και επιθεωρήσει το έργο για να βεβαιωθεί ως προς την προσβατότητα στο χώρο Εργοταξίου, τη φύση και την ιδιομορφία του Εργοταξίου, τους πιθανούς περιορισμούς που δυνατό να παρουσιάζει η οικία για τις κατεδαφίσεις, τις κατασκευαστικές εργασίες, την παροχή νερού, ηλεκτρισμού, καθώς και για όλους τους τοπικούς περιορισμούς και κανονισμούς της νομοθεσίας περί Ανέγερσης  οικοδομών.</t>
  </si>
  <si>
    <t>Ο Εργολάβος οφείλει να επιδιορθώσει οποιεσδήποτε ζημιές προξενήσει στα γειτονικά κτίρια , στους ιδιωτικούς και δημόσιους δρόμους που οδηγούν στο Εργοτάξιο.</t>
  </si>
  <si>
    <t>41: Εγγύση Προκαταβολης Εργολάβου</t>
  </si>
  <si>
    <t>Συμπεριλάβατε για όλα τα εντός και εκτός έξοδα εργοταξίου για το διευθυντικό και επιβλέπων προσωπικό συμπεριλαμβανομένου του κόστους για υπεύθυνο προσοντούχο και πεπειραμένο Πολιτικό Μηχανικό (Site Manager) με δεκαπενταετή πείρα σε παρόμοια έργα ο οποίος θα είναι μονίμως παρών στο Εργοτάξιο πλαισιωμένος από έμπειρου εγκεκριμένου, προσοντούχου και πεπειραμένου Πολιτικού Μηχανικό (Site Engineer) με δεκαετή πείρα σε παρόμοια έργα, προσοντούχο και πεπειραμένο Τοπογράφο Μηχανικό με δεκαετή πείρα σε παρόμοια έργα και Επιστάτη με δεκαετή πείρα καθώς και ικανούς βοηθούς, τεχνίτες και εργάτες.</t>
  </si>
  <si>
    <t>ΠΕΡΙΓΡΑΦΗ</t>
  </si>
  <si>
    <t>Σπάσιμο στηθέου περιμετρικά βεραντών μέχρι την πλάκα (το στηθέο είναι από οπλισμένο σκυρόδεμα) , απομάκρυνση , εξομάλυνση και  αποκατάσταση επιφάνειας</t>
  </si>
  <si>
    <t>Αφαίρεση και απομάκρυνση ερμάρια υπνοδωματίων</t>
  </si>
  <si>
    <t>ΟΛΟ</t>
  </si>
  <si>
    <t>Αφαίρεση και απομάκρυνση πάγκους και ερμάρια κουζίνας</t>
  </si>
  <si>
    <t>Σπάσιμο - αφαίρεαση βάσεις πάγκων/ερμαριών από σκυρόδεμα , απομάκρυνση , εξομάλυνση επιφάνειας και ετοιμασία για να δεχτεί σκριτ</t>
  </si>
  <si>
    <t>Αφαίρεση ξύλινων θυρών συμπεριλαμβανομένου του κασιώματος , απομάκρυνση και αποκατάσταση επιφάνειας περιμετρικά με τρία χέρια σουβά</t>
  </si>
  <si>
    <t>Σύνολο</t>
  </si>
  <si>
    <t>ΤΕΜ</t>
  </si>
  <si>
    <t xml:space="preserve">Αφαίρεση μεταλλικών σωμάτων θέρμανσης και διαφύλαξη σε αποθήκες του εργολάβου . (Επανατοποποθέτηση σε νέα σημεία  περιγράφονται σε άλλη σελίδα) </t>
  </si>
  <si>
    <t xml:space="preserve">Αφαίρεση μεταλλικών καγκέλλων από βεράντες και διαφύλαξη σε αποθήκες του εργολάβου . (Επανατοποποθέτηση και χρωματισμοί περιγράφονται σε άλλη σελίδα) </t>
  </si>
  <si>
    <t>Αφαίρεση και απομάκρυνση υφιστάμενα καθίσματα τουαλέτας</t>
  </si>
  <si>
    <t>Αφαίρεση και απομάκρυνση υφιστάμενου νιπτήρα και μίξερ</t>
  </si>
  <si>
    <t>Κατεδάφιση και απομάκρυνση υφιστάμενου μπάνιου , μίξερ συμπεριλαμβανομένου και της τοιχοποιίας που είναι πιασμένο , εξομάλυνση επιφάνειας και σουβάτισμα τοίχου στο σημείο που ήταν η μπανιιέρα για να μετατραπεί αργότερα σε ντουσιέρα</t>
  </si>
  <si>
    <t>Αποσύνδεση ηλεκτρικό ρεύμα από το κτίριο</t>
  </si>
  <si>
    <t>Αποσύνδεση νερού υδραυλικών εγκαταστάσεων και θέρμανσης από το κτίριο</t>
  </si>
  <si>
    <t>Αφαίρεση  θυρών/παραθύρων  αλουμινίου συμπεριλαμβανομένου του κασιώματος , απομάκρυνση και αποκατάσταση επιφάνειας περιμετρικά με τρία χέρια σουβά</t>
  </si>
  <si>
    <t>Αφαίρεση και απομάκρυνση υφιστάμενο πιτέ</t>
  </si>
  <si>
    <t>Αφαίρεση υφιστάμενης ψευδοροφής , απομάκρυνση και αποκατάσταση επιφάνειας</t>
  </si>
  <si>
    <t>Μ2</t>
  </si>
  <si>
    <t>Αφαίρεση και απομάκρυνση υφιστάμενου δαπέδου παρκέ συμπεριλαμβνομένου τσεκουλατούρας</t>
  </si>
  <si>
    <t xml:space="preserve">Αφαίρεση και απομάκρυνση υφιστάμενο ελαφρομπετόν </t>
  </si>
  <si>
    <t>Αφαίρεση και απομάκρυνση υφιστάμενα μάρμαρα βεραντών συμπεριλαμβανομένου και του τσιμεντοπηλού εφαρμογής</t>
  </si>
  <si>
    <t xml:space="preserve">Αφαίρεση και απομάκρυνση υφιστάμενα σκριτ βεραντών </t>
  </si>
  <si>
    <t>ΣΗΜΕΙΑ</t>
  </si>
  <si>
    <t>Κατεδάφιση και απομάκρυνση τοιχοποιίας στην κουζίνα συμπεριλαμβανομένου ανωφλίου , εξομάλυνση επιφάνειας και αποκατάσταση σουβά στα σημεία των κατεδαφίσεων (όλα βάση σχεδίου)</t>
  </si>
  <si>
    <t>Κατεδάφιση και απομάκρυνση τοιχοποιίας στο καθιστικό , εξομάλυνση επιφάνειας και αποκατάσταση σουβά (όλα βάση σχεδίου)</t>
  </si>
  <si>
    <t>Κατεδάφιση και απομάκρυνση μέρος τοιχοποιίας στο wc ,ανωφλίου , εξομάλυνση επιφάνειας , προσθήκη νέας τοιχοποιίας και νέου ανωφλίου και αποκατάσταση σουβά (όλα βάση σχεδίου)</t>
  </si>
  <si>
    <r>
      <t xml:space="preserve">Αφαίρεση και απομάκρυνση πορσελάνων από </t>
    </r>
    <r>
      <rPr>
        <b/>
        <u/>
        <sz val="18"/>
        <rFont val="Arial"/>
        <family val="2"/>
      </rPr>
      <t>τοίχους wc</t>
    </r>
    <r>
      <rPr>
        <sz val="18"/>
        <rFont val="Arial"/>
        <family val="2"/>
      </rPr>
      <t xml:space="preserve"> , εξομάλυνση , αποκατάσταση επιφάνειας και ετοιμασία για να δεχτεί καινούργιες</t>
    </r>
  </si>
  <si>
    <r>
      <t xml:space="preserve">Αφαίρεση και απομάκρυνση πορσελάνων από </t>
    </r>
    <r>
      <rPr>
        <b/>
        <u/>
        <sz val="18"/>
        <rFont val="Arial"/>
        <family val="2"/>
      </rPr>
      <t>τοίχους κουζίνας</t>
    </r>
    <r>
      <rPr>
        <sz val="18"/>
        <rFont val="Arial"/>
        <family val="2"/>
      </rPr>
      <t xml:space="preserve"> , εξομάλυνση , αποκατάσταση επιφάνειας και ετοιμασία για να δεχτεί καινούργιες</t>
    </r>
  </si>
  <si>
    <t>Κατεδαφίσεις - Απομακρύνσεις / Τροποιήσεις</t>
  </si>
  <si>
    <t>Κατεδαφίσεις - Απομακρύνσεις / Τροποιήσεις Συνέχεια</t>
  </si>
  <si>
    <r>
      <t>ΣΗΜΕΙΩΣΗ :</t>
    </r>
    <r>
      <rPr>
        <u/>
        <sz val="18"/>
        <rFont val="Arial"/>
        <family val="2"/>
      </rPr>
      <t xml:space="preserve"> Θα γίνεται διαλογή των υλικών που θα απομακρύνονται όλα βάση των κανονισμών ανακύκλωσης και θα ζητηθούν όλα τα απαραίτητα έγγραφα</t>
    </r>
  </si>
  <si>
    <t>Στέγες</t>
  </si>
  <si>
    <t>Αφαίρεση και απομάκρυνση καβάλλων συμπεριλαμβανομένου και του πηλού</t>
  </si>
  <si>
    <t>Αφαίρεση και απομάκρυνση κεραμιδιών</t>
  </si>
  <si>
    <t>Στήσιμο σκαλωσιών περιμετρικά κτιρίου</t>
  </si>
  <si>
    <t>Στέγες συνέχεια</t>
  </si>
  <si>
    <r>
      <rPr>
        <b/>
        <sz val="18"/>
        <rFont val="Arial"/>
        <family val="2"/>
      </rPr>
      <t>Σημείωση</t>
    </r>
    <r>
      <rPr>
        <sz val="18"/>
        <rFont val="Arial"/>
        <family val="2"/>
      </rPr>
      <t xml:space="preserve"> : θα γίνει έλεγχος επό επιβλέπον πολ. Μηχανικό και θα δοθούν οδηγίες σε περίπτωση που θα χρειαστούν διορθώσεις ξύλινης στέγης ή και αφαίρεση</t>
    </r>
  </si>
  <si>
    <t xml:space="preserve">Κατεδαφίσεις - Απομακρύνσεις / Τροποιήσεις </t>
  </si>
  <si>
    <r>
      <t xml:space="preserve">Αφαίρεση σαθρού σκυροδέματος από βεράντες και οροφές βεραντών , αποκάλυψη οπλισμού , καθάρισμα οπλισμού με τελόβουρτσα , αντικατάσταση οπλισμού όπου χρειάζεται , </t>
    </r>
    <r>
      <rPr>
        <b/>
        <sz val="18"/>
        <rFont val="Arial"/>
        <family val="2"/>
      </rPr>
      <t xml:space="preserve">αποκατάσταση επιφάνειας με μπετόν C30/37 </t>
    </r>
    <r>
      <rPr>
        <sz val="18"/>
        <rFont val="Arial"/>
        <family val="2"/>
      </rPr>
      <t>συμπεριλαμβανομένου ξυλότυπου , αποκατάσταση σουβά και ετοιμασία για να δεχτεί μπογιά</t>
    </r>
  </si>
  <si>
    <t xml:space="preserve">Επιδιόρθωση υφιστάμενων σκαλοπατιών κλιμακοστασίου (να εγκριθεί δείγμα από αρχιτέκτονα) </t>
  </si>
  <si>
    <t xml:space="preserve">Προμήθεια και τοποθέτηση sandwitch panel πάχους 10εκ χρώμα επιλογής του αρχιτέκτονα  και κλείσιμο με σουβά εξωτερικά όπου εφάπτεται με τοιχοποιία </t>
  </si>
  <si>
    <t xml:space="preserve">Προμήθεια και τοποθέτηση κάβαλλου από λαμαρίνα 1ΜΜ πάχος χρώμα επιλογής του αρχιτέκτονα  </t>
  </si>
  <si>
    <t>Προμήθεια και τοποθέτηση flashing από λαμαρίνα 1ΜΜ μπογιατισμένη σχήματος Γ για κάλυψη sandwitch panel στις πλάγιες πλευρές και στα τελειώματα</t>
  </si>
  <si>
    <t>ΔΙΑΦΟΡΑ</t>
  </si>
  <si>
    <r>
      <t xml:space="preserve">Ανοίγματα καναλιών σε υφιστάμενα </t>
    </r>
    <r>
      <rPr>
        <b/>
        <sz val="18"/>
        <rFont val="Arial"/>
        <family val="2"/>
      </rPr>
      <t>δάπεδα</t>
    </r>
    <r>
      <rPr>
        <sz val="18"/>
        <rFont val="Arial"/>
        <family val="2"/>
      </rPr>
      <t xml:space="preserve"> , κλείσιμο και αποκατάσταση επιφάνειας για νέα </t>
    </r>
    <r>
      <rPr>
        <b/>
        <sz val="18"/>
        <rFont val="Arial"/>
        <family val="2"/>
      </rPr>
      <t>μηχανολογική εγκατάσταση</t>
    </r>
  </si>
  <si>
    <r>
      <t xml:space="preserve">Ανοίγματα καναλιών σε υφιστάμενους </t>
    </r>
    <r>
      <rPr>
        <b/>
        <sz val="18"/>
        <rFont val="Arial"/>
        <family val="2"/>
      </rPr>
      <t>τοίχους</t>
    </r>
    <r>
      <rPr>
        <sz val="18"/>
        <rFont val="Arial"/>
        <family val="2"/>
      </rPr>
      <t xml:space="preserve"> , κλείσιμο και αποκατάσταση επιφάνειας για νέα </t>
    </r>
    <r>
      <rPr>
        <b/>
        <sz val="18"/>
        <rFont val="Arial"/>
        <family val="2"/>
      </rPr>
      <t>μηχανολογική εγκατάσταση</t>
    </r>
  </si>
  <si>
    <r>
      <t xml:space="preserve">Ανοίγματα καναλιών σε υφιστάμενους </t>
    </r>
    <r>
      <rPr>
        <b/>
        <sz val="18"/>
        <rFont val="Arial"/>
        <family val="2"/>
      </rPr>
      <t>τοίχους</t>
    </r>
    <r>
      <rPr>
        <sz val="18"/>
        <rFont val="Arial"/>
        <family val="2"/>
      </rPr>
      <t xml:space="preserve"> , κλείσιμο και αποκατάσταση επιφάνειας για νέα </t>
    </r>
    <r>
      <rPr>
        <b/>
        <u/>
        <sz val="18"/>
        <rFont val="Arial"/>
        <family val="2"/>
      </rPr>
      <t>ηλεκτρολογική</t>
    </r>
    <r>
      <rPr>
        <b/>
        <sz val="18"/>
        <rFont val="Arial"/>
        <family val="2"/>
      </rPr>
      <t xml:space="preserve"> εγκατάσταση</t>
    </r>
  </si>
  <si>
    <r>
      <t xml:space="preserve">Ανοίγματα καναλιών σε υφιστάμενα </t>
    </r>
    <r>
      <rPr>
        <b/>
        <sz val="18"/>
        <rFont val="Arial"/>
        <family val="2"/>
      </rPr>
      <t>δάπεδα</t>
    </r>
    <r>
      <rPr>
        <sz val="18"/>
        <rFont val="Arial"/>
        <family val="2"/>
      </rPr>
      <t xml:space="preserve"> , κλείσιμο και αποκατάσταση επιφάνειας για νέα </t>
    </r>
    <r>
      <rPr>
        <b/>
        <u/>
        <sz val="18"/>
        <rFont val="Arial"/>
        <family val="2"/>
      </rPr>
      <t xml:space="preserve">ηλεκτρολογική </t>
    </r>
    <r>
      <rPr>
        <b/>
        <sz val="18"/>
        <rFont val="Arial"/>
        <family val="2"/>
      </rPr>
      <t>εγκατάσταση</t>
    </r>
  </si>
  <si>
    <t>ΜΗΧΑΝΟΛΟΓΙΚΑ</t>
  </si>
  <si>
    <t>Νέες παροχές ζεστό-κρύο για νιπτήρα</t>
  </si>
  <si>
    <t>Νέες παροχές ζεστό-κρύο για ντους</t>
  </si>
  <si>
    <t>Νέες παροχές ζεστό-κρύο για γούρνα</t>
  </si>
  <si>
    <t>Νέες παροχές για τουαλέτα</t>
  </si>
  <si>
    <t>Νέες γραμμές από υφιστάμενα ντιπόζιτα ζεστό και κρύο προς διαμέρισμα</t>
  </si>
  <si>
    <t>Manifold plumbing system ανά διαμέρισμα</t>
  </si>
  <si>
    <t>TEM</t>
  </si>
  <si>
    <t>Τοποθέτηση τουαλέτας , όλων των εξαρτημάτων κλπ</t>
  </si>
  <si>
    <t>Τοποθέτηση ντουσιέρας , μίξερ , όλων των εξαρτημάτων κλπ</t>
  </si>
  <si>
    <t>Τοποθέτηση νιπτήρα , μίξερ όλων των εξαρτημάτων  κλπ</t>
  </si>
  <si>
    <t>Τοποθέτηση γούρνας , μίξερ , όλων των εξαρτημάτων κλπ</t>
  </si>
  <si>
    <t>Τοποθέτηση γυάλλινης θύρας ντους , όλων των εξαρτημάτων κλπ</t>
  </si>
  <si>
    <t>Νέες παροχές για πλυντήριο συμπεριλαμβανομένου διακόπτη νερού</t>
  </si>
  <si>
    <t>Κτιστή ντουσιέρα συμπεριλαμβανομένου σκριτ , ρύσεις , μονώσεις και επένδυση κεραμικού</t>
  </si>
  <si>
    <t>Παραλαβή , εκφόρτωση ,  αποθήκευση , βοήθειες και κέρδος εργολάβου</t>
  </si>
  <si>
    <t>ΠΟΣΟΝ</t>
  </si>
  <si>
    <t>ΗΛΕΚΤΡΟΛΟΓΙΚΑ</t>
  </si>
  <si>
    <t>ΜΗΧΑΝΟΛΟΓΙΚΑ ΣΥΝΕΧΕΙΑ</t>
  </si>
  <si>
    <t>Επανατοποθέτηση σωμάτων θέρμανσης</t>
  </si>
  <si>
    <t>Έλεγχος υφιστάμενης κατάστασης μηχανημάτων θέρμανσης και εκκίνηση θέρμανσης ανά διαμέρισμα</t>
  </si>
  <si>
    <t>ΔΙΑΜΕΡ</t>
  </si>
  <si>
    <t>ΗΛΕΚΤΡΟΛΟΓΙΚΑ-ΣΥΝΕΧΕΙΑ</t>
  </si>
  <si>
    <t>Acces panel διαστάσεων 40Χ40εκ</t>
  </si>
  <si>
    <t>Κατασκευή μετώπης με γυψοσανίδα συμπεριλαμβανομένου και της λεπτομέριας κρυφού φωτισμού</t>
  </si>
  <si>
    <r>
      <t xml:space="preserve">Κατασκευή μετώπης με </t>
    </r>
    <r>
      <rPr>
        <b/>
        <sz val="18"/>
        <rFont val="Arial"/>
        <family val="2"/>
      </rPr>
      <t xml:space="preserve">άνθυγρη </t>
    </r>
    <r>
      <rPr>
        <sz val="18"/>
        <rFont val="Arial"/>
        <family val="2"/>
      </rPr>
      <t>γυψοσανίδα συμπεριλαμβανομένου και της λεπτομέριας κρυφού φωτισμού</t>
    </r>
  </si>
  <si>
    <r>
      <t xml:space="preserve">Ταβάνια από </t>
    </r>
    <r>
      <rPr>
        <b/>
        <sz val="18"/>
        <rFont val="Arial"/>
        <family val="2"/>
      </rPr>
      <t>άνθυγρη</t>
    </r>
    <r>
      <rPr>
        <sz val="18"/>
        <rFont val="Arial"/>
        <family val="2"/>
      </rPr>
      <t xml:space="preserve"> γυψοσανίδα σε χώρους wc συμπεριλαμβανομένου μεταλλικού σκελετού και όλων των απαραίτητων εξαρτημάτων</t>
    </r>
  </si>
  <si>
    <t>Βοήθειες και κέρδος εργολάβου</t>
  </si>
  <si>
    <t>Ταβάνια από γυψοσανίδα σε χώρους διαδρόμου , κουζίνας και καθιστικού  συμπεριλαμβανομένου μεταλλικού σκελετού και όλων των απαραίτητων εξαρτημάτων</t>
  </si>
  <si>
    <t>Αφαίρεση και απομάκρυνση υφιστάμενου σκριτ κουζίνας και χώρων υγιεινής</t>
  </si>
  <si>
    <t xml:space="preserve">Υπόστρωμα ελαφρομπετόν πάχους 15εκ σε κουζίνα και χώρους υγιεινής </t>
  </si>
  <si>
    <t>Κόψιμο / αφαίρεση επένδηση πέτρας περιμετρικά βεράντας στα σημεία που κατεδαφίστικε το στηθέο , περιποίηση επιφάνειας και ετοιμασία για να δεχτεί μάρμαρο περιμετρικά</t>
  </si>
  <si>
    <t>ΔΑΠΕΔΑ-ΕΠΕΝΔΥΣΕΙΣ</t>
  </si>
  <si>
    <t>ΔΑΠΕΔΑ-ΕΠΕΝΔΥΣΕΙΣ ΣΥΝΕΧΕΙΑ</t>
  </si>
  <si>
    <r>
      <t xml:space="preserve">Προμήθεια και τοποθέτηση τσεκουλατούρας αξίας αγοράς </t>
    </r>
    <r>
      <rPr>
        <sz val="20"/>
        <rFont val="Calibri"/>
        <family val="2"/>
      </rPr>
      <t>€7,00</t>
    </r>
    <r>
      <rPr>
        <sz val="18"/>
        <rFont val="Arial"/>
        <family val="2"/>
      </rPr>
      <t xml:space="preserve">/Μ2 συμπεριλαμβνομένου γόμμα κατηγορίας C2TES2 και αδιάβροχου αρμού </t>
    </r>
  </si>
  <si>
    <r>
      <t>Προμήθεια και τοποθέτηση</t>
    </r>
    <r>
      <rPr>
        <b/>
        <sz val="18"/>
        <rFont val="Arial"/>
        <family val="2"/>
      </rPr>
      <t xml:space="preserve"> μάρμαρο για κατώφλια</t>
    </r>
    <r>
      <rPr>
        <sz val="18"/>
        <rFont val="Arial"/>
        <family val="2"/>
      </rPr>
      <t xml:space="preserve"> θυρών αξίας αγοράς </t>
    </r>
    <r>
      <rPr>
        <sz val="20"/>
        <rFont val="Calibri"/>
        <family val="2"/>
      </rPr>
      <t>€40,00</t>
    </r>
    <r>
      <rPr>
        <sz val="18"/>
        <rFont val="Arial"/>
        <family val="2"/>
      </rPr>
      <t xml:space="preserve">/Μ συμπεριλαμβνομένου γόμμα κατηγορίας C2TES2  </t>
    </r>
  </si>
  <si>
    <r>
      <t xml:space="preserve">Τρία χέρια τσιμεντοειδής μόνωση δύο συστατικών με δίκτυ ενδιάμεσα σε </t>
    </r>
    <r>
      <rPr>
        <b/>
        <sz val="18"/>
        <rFont val="Arial"/>
        <family val="2"/>
      </rPr>
      <t>δάπεδα βεραντών</t>
    </r>
    <r>
      <rPr>
        <sz val="18"/>
        <rFont val="Arial"/>
        <family val="2"/>
      </rPr>
      <t xml:space="preserve"> συμπεριλαμβανομένου και γύρισμα στην τσεκουλατούρα </t>
    </r>
  </si>
  <si>
    <r>
      <t xml:space="preserve">Τρία χέρια τσιμεντοειδής μόνωση δύο συστατικών με δίκτυ ενδιάμεσα σε δάπεδα και τοίχους </t>
    </r>
    <r>
      <rPr>
        <b/>
        <sz val="18"/>
        <rFont val="Arial"/>
        <family val="2"/>
      </rPr>
      <t>χώρων υγιεινής</t>
    </r>
    <r>
      <rPr>
        <sz val="18"/>
        <rFont val="Arial"/>
        <family val="2"/>
      </rPr>
      <t xml:space="preserve"> </t>
    </r>
  </si>
  <si>
    <r>
      <t xml:space="preserve">Έλεγχος , καθάρισμα ή και προσθήκη αέριο σε κλιματιστικό και εκκίνιση για λειτουργεία </t>
    </r>
    <r>
      <rPr>
        <b/>
        <sz val="18"/>
        <rFont val="Arial"/>
        <family val="2"/>
      </rPr>
      <t>( σε περίπτωση που κάποιο μηχάνημα χρειάζεται άλλη εργασία για διόρθωση ή και αντικατάσταη θα δοθούν οδηγίες επί τόπου)</t>
    </r>
  </si>
  <si>
    <t>Άνοιγμα σε τοίχο ντους διαστάσεων 30Χ40εκ και βάθος 12εκ για δημιουργία εσσοχής συμπεριλαμβανομένου απομάκρυνση μπάζων , σουβάτισμα , μόνωση και επένδυση με κεραμικό</t>
  </si>
  <si>
    <t>ΣΠΑΤΟΥΛΕΣ-ΧΡΩΜΑΤΙΣΜΟΙ</t>
  </si>
  <si>
    <t>Επαναφορά υφιστάμενου μεταλλικού καγκέλλου προσθήκη μιας σωλήνας Φ50ΜΜ οριζοντίως στο κάτω μέρος και κομμάτια μαζί με φλάντζα στα άκρα για να φτάσει τα 110εκ ύψος , αστάρι και τοποθέτηση</t>
  </si>
  <si>
    <t>Μεταλλική κατασκευή για στήριξη τηλεόρασης συμπεριλαμβανομένου πάτους , ξετρυπήματα για καλλώδια και φλάντζες στήριξης , αστάρι και τοποθέτηση</t>
  </si>
  <si>
    <t>Ενίσχυση ταβανιού για κρεμμαστό φωτιστικό</t>
  </si>
  <si>
    <t>Ανοίγματα οπών για φωτιστικά (τιμή ανά διαμέρισμα)</t>
  </si>
  <si>
    <t>Μετακίνηση σωλήνων για αλλαγή σημείου σώματος θέρμανσης</t>
  </si>
  <si>
    <t>Ένα χέρι undercoat και δύο χέρια finish σε μεταλλικό tv stand</t>
  </si>
  <si>
    <r>
      <t xml:space="preserve">Τρίψιμο , αφαίρεση φθαρμένης μπογιάς σε εξωτερικά </t>
    </r>
    <r>
      <rPr>
        <b/>
        <sz val="18"/>
        <rFont val="Arial"/>
        <family val="2"/>
      </rPr>
      <t>μεταλλικά κάγκελα</t>
    </r>
    <r>
      <rPr>
        <sz val="18"/>
        <rFont val="Arial"/>
        <family val="2"/>
      </rPr>
      <t xml:space="preserve"> και τρία χέρια μπογιά τύπου paramati</t>
    </r>
  </si>
  <si>
    <r>
      <t xml:space="preserve">Τρίψιμο , αφαίρεση φθαρμένης μπογιάς σε εξωτερικές </t>
    </r>
    <r>
      <rPr>
        <b/>
        <sz val="18"/>
        <rFont val="Arial"/>
        <family val="2"/>
      </rPr>
      <t>μεταλλικές υδροροές</t>
    </r>
    <r>
      <rPr>
        <sz val="18"/>
        <rFont val="Arial"/>
        <family val="2"/>
      </rPr>
      <t xml:space="preserve"> και τρία χέρια μπογιά τύπου paramati</t>
    </r>
  </si>
  <si>
    <r>
      <t xml:space="preserve">Τρίψιμο , αφαίρεση φθαρμένης μπογιάς σε υφιστάμενες </t>
    </r>
    <r>
      <rPr>
        <b/>
        <sz val="18"/>
        <rFont val="Arial"/>
        <family val="2"/>
      </rPr>
      <t>μεταλλικές χωλέτρες</t>
    </r>
    <r>
      <rPr>
        <sz val="18"/>
        <rFont val="Arial"/>
        <family val="2"/>
      </rPr>
      <t xml:space="preserve"> και τρία χέρια μπογιά τύπου paramati</t>
    </r>
  </si>
  <si>
    <t>Δύο χέρια σπάτουλα και τρία χέρια μπογιά εμάλσιον σε τοίχους εσσωτερικά</t>
  </si>
  <si>
    <t>Δύο χέρια σπάτουλα και τρία χέρια μπογιά εμάλσιον σε ταβάνια γυψοσανίδας εσσωτερικά</t>
  </si>
  <si>
    <t xml:space="preserve">Δύο χέρια σπάτουλα και τρία χέρια μπογιά εμάλσιον εξωτερικής χρήσης σε ταβάνια  γυψοσανίδας wc </t>
  </si>
  <si>
    <t>Δύο χέρια σπάτουλα και τρία χέρια μπογιά εμάλσιον σε υφιστάμενα ταβάνια εσσωτερικά</t>
  </si>
  <si>
    <t>Δύο χέρια σπάτουλα και τρία χέρια μπογιά εμάλσιον σε μετώπες γυψοσανίδας  (λεπτομέρια κρυφού φωτισμού) εσσωτερικά</t>
  </si>
  <si>
    <t>ΣΠΑΤΟΥΛΕΣ-ΧΡΩΜΑΤΙΣΜΟΙ-ΣΥΝΕΧΕΙΑ</t>
  </si>
  <si>
    <t>Τρίψιμο αφαίρεση μπογιάς σε λορίδα εξωτερικά περιμετρικά κτιρίου αποκατάσταση σπάτουλας όπου χρειάζεται ένα χέρι stabilizer και τρία χέρια μπογιά εξωτερικής χρήσης (προνοητική εργασία)</t>
  </si>
  <si>
    <t xml:space="preserve">Δύο χέρια σπάτουλα ένα χέρι stabilizer και τρία χέρια μπογιά εμάλσιον εξωτερικής χρήσης σε ταβάνια βεραντών </t>
  </si>
  <si>
    <t>Επαναχρωματισμός θύρας κλιμακοστασίου με λαδομπογιά</t>
  </si>
  <si>
    <t>Τρίψιμο , στοκάρισμα και τρία χέρια μπογιά σε τοίχους και ταβάνια κλιμακοστασίου</t>
  </si>
  <si>
    <t>ΑΛΟΥΜΙΝΙΑ</t>
  </si>
  <si>
    <t>Αφαίρεση και απομάκρυνση δίφυλλης θύρας εισόδου κτιρίου αποκατάσταση επιφάνειας και ετοιμασία για να δεχτεί καινούργια</t>
  </si>
  <si>
    <t>Δίφυλλη συρόμενη θύρα διαστάσεων 140Χ270εκ σειράς-διπλό γυαλλί</t>
  </si>
  <si>
    <t>Δίφυλλο συρόμενο παράθυρο διαστάσεων 140Χ120εκ</t>
  </si>
  <si>
    <t>Ανοιγοανακλυνόμενο παράθυρο διαστάσεων 60Χ80εκ</t>
  </si>
  <si>
    <t>Κατεδάφιση και απομάκρυνση εξωτερικής τοιχοποιίας στην κουζίνα , εξομάλυνση επιφάνειας και αποκατάσταση σουβά για να ενωθεί το παράθυρο με την θύρα και ακολούθως να δεχτεί συρόμενη θύρα αλουμινίου (όλα βάση σχεδίου)</t>
  </si>
  <si>
    <t>ΞΥΛΟΥΡΓΙΚΑ</t>
  </si>
  <si>
    <t>Προνοητικό ποσόν για αγορά επίπλων , τραπεζαρία, καρέκλες κλπ</t>
  </si>
  <si>
    <t>Ερμάρι υπνοδωματίου διαστάσεων 200Χ290εκ με επένδυση …..</t>
  </si>
  <si>
    <t>Ερμάρι υπνοδωματίου διαστάσεων 100Χ290εκ με επένδυση …..</t>
  </si>
  <si>
    <t>Ερμάρι διαδρόμου διαστάσεων 100Χ290εκ με επένδυση …..</t>
  </si>
  <si>
    <t>Ερμάρι υπνοδωματίου διαστάσεων 140Χ290εκ με επένδυση …..</t>
  </si>
  <si>
    <t>Έπιπλο σαλονιού διαστάσεων 50Χ290εκ με επένδυση …..</t>
  </si>
  <si>
    <t>Έπιπλο σαλονιού διαστάσεων 60Χ290εκ συμπεριλαμβανομένου λεπτομέρια περιμετρικά κολώνας με επένδυση …..</t>
  </si>
  <si>
    <t xml:space="preserve">Διακοσμητικό πάνελ σε τοίχο σαλονιού 100Χ290εκ </t>
  </si>
  <si>
    <t>Πάγκος κουζίνας μήκους 350εκ</t>
  </si>
  <si>
    <t>Έρμάρια κουζίνας μήκους 350εκ εφαπτόμενα στο ταβάνι γυψοσανίδας</t>
  </si>
  <si>
    <t>Κατασκευή νησίδας διαστάσεων 200Χ120Χ110εκ</t>
  </si>
  <si>
    <t>Μονή ανοιγόμενη εσσωτερική θύρα συμπεριλαμβανομένου και του κασιώματος με επένδυση …..</t>
  </si>
  <si>
    <t>ΠΕΡΙΛΗΨΗ</t>
  </si>
  <si>
    <t>ΔΩΜΑΤΙΑ</t>
  </si>
  <si>
    <t>ΚΟΥΖΙΝΕΣ</t>
  </si>
  <si>
    <t>ΤΑΒΑΝΙΑ-ΕΠΕΝΔΥΣΕΙΣ ΓΥΨΟΣΑΝΙΔΑΣ</t>
  </si>
  <si>
    <t>Κατασκευή duct σχήματος Γ (προνοητικό ποσόν)</t>
  </si>
  <si>
    <t>Κατασκευή duct σχήματος Π (προνοητικό ποσόν)</t>
  </si>
  <si>
    <t xml:space="preserve">Επένδυση τοίχου για κλείσιμο κουφώματος με λορίδα τσιμεντοσανίδας πλάτους κάτω των 50εκ σε χώρους υγιεινής </t>
  </si>
  <si>
    <t>Κατασκευή εσσοχής για σαπουνοθήκη με τσιμεντοσανίδα</t>
  </si>
  <si>
    <t xml:space="preserve">Αφαίρεση και απομάκρυνση υφιστάμενου δαπέδου κεραμικού  συμπεριλαμβνομένου τσεκουλατούρας και αποκατάσταση επιφάνειας επιρεαζόμενου τοίχου </t>
  </si>
  <si>
    <r>
      <t xml:space="preserve">Αφαίρεση σαθρού σκυροδέματος από βεράντες και οροφές βεραντών , αποκάλυψη οπλισμού , καθάρισμα οπλισμού με τελόβουρτσα , αντισκουριακή βαφή , αντικατάσταση οπλισμού όπου χρειάζεται , </t>
    </r>
    <r>
      <rPr>
        <b/>
        <sz val="18"/>
        <rFont val="Arial"/>
        <family val="2"/>
      </rPr>
      <t xml:space="preserve">αποκατάσταση με διορθωτικό σκυροδέματος κατηγορίας R4 </t>
    </r>
    <r>
      <rPr>
        <sz val="18"/>
        <rFont val="Arial"/>
        <family val="2"/>
      </rPr>
      <t>, αποκατάσταση σουβά και ετοιμασία για να δεχτεί μπογιά</t>
    </r>
  </si>
  <si>
    <t xml:space="preserve">Περιποίηση μαγούλων περιμετρικά παραθύρων ή και αντικατάσταση τουβλάκι τύπου clinker όπου χρειάζεται </t>
  </si>
  <si>
    <t>Μετατροπή αποχετεύσεων τουαλέτας, νιπτήρα , ντους , γούρνας , πλυντηρίου κλπ</t>
  </si>
  <si>
    <t xml:space="preserve">Υπόστρωμα σκριτ  C25 πάχους 8εκ σε κουζίνα και χώρους υγιεινής </t>
  </si>
  <si>
    <t>Υπόστρωμα σκριτ C25 με ρύσεις μέσου πάχους 8εκ κάτω από βάσεις πάγκων και ερμαριών</t>
  </si>
  <si>
    <t>Υπόστρωμα σκριτ C25 με ρύσεις μέσου πάχους 20εκ σε βεράντες</t>
  </si>
  <si>
    <r>
      <t xml:space="preserve">Προμήθεια και τοποθέτηση </t>
    </r>
    <r>
      <rPr>
        <b/>
        <sz val="18"/>
        <rFont val="Arial"/>
        <family val="2"/>
      </rPr>
      <t>μάρμαρο για πατούδες παραθύρων πλάτους άνω των 50εκ</t>
    </r>
    <r>
      <rPr>
        <sz val="18"/>
        <rFont val="Arial"/>
        <family val="2"/>
      </rPr>
      <t xml:space="preserve"> αξίας αγοράς </t>
    </r>
    <r>
      <rPr>
        <sz val="20"/>
        <rFont val="Calibri"/>
        <family val="2"/>
      </rPr>
      <t>€65,00</t>
    </r>
    <r>
      <rPr>
        <sz val="18"/>
        <rFont val="Arial"/>
        <family val="2"/>
      </rPr>
      <t xml:space="preserve">/Μ συμπεριλαμβνομένου γόμμα κατηγορίας C2TES2  </t>
    </r>
  </si>
  <si>
    <r>
      <t>Προμήθεια και τοποθέτηση</t>
    </r>
    <r>
      <rPr>
        <b/>
        <sz val="18"/>
        <rFont val="Arial"/>
        <family val="2"/>
      </rPr>
      <t xml:space="preserve"> μάρμαρο με νεροσταλάχτη περιμετρικά βεραντών</t>
    </r>
    <r>
      <rPr>
        <sz val="18"/>
        <rFont val="Arial"/>
        <family val="2"/>
      </rPr>
      <t xml:space="preserve"> αξίας αγοράς </t>
    </r>
    <r>
      <rPr>
        <sz val="20"/>
        <rFont val="Calibri"/>
        <family val="2"/>
      </rPr>
      <t>€45,00</t>
    </r>
    <r>
      <rPr>
        <sz val="18"/>
        <rFont val="Arial"/>
        <family val="2"/>
      </rPr>
      <t xml:space="preserve">/Μ συμπεριλαμβνομένου γόμμα κατηγορίας C2TES2 και αδιάβροχο αρμό </t>
    </r>
  </si>
  <si>
    <t>Εξώθυρα κτιρίου δίφυλλη ανοιγόμενη διαστάσεων 200Χ270εκ σειράς</t>
  </si>
  <si>
    <t>Δίφυλλη συρόμενη θύρα διαστάσεων 160Χ270εκ σειράς-διπλό γυαλλί</t>
  </si>
  <si>
    <t>Ερμάρι υπνοδωματίου διαστάσεων 160Χ290εκ με επένδυση …..</t>
  </si>
  <si>
    <t>Μονή ανοιγόμενη εξωτερική θύρα ασφαλείας πυράντοχη μιας ώρας συμπεριλαμβανομένου και του κασιώματος με επένδυση …..</t>
  </si>
  <si>
    <t xml:space="preserve">Τρίψιμο αφαίρεση μπογιάς και δύο χέρια γόμμα με δίκτυ ενδιάμεσα σε επιφάνειες επηρεαζόμενων τοίχων που ανοίχτηκαν κανάλια (προνοητική εργασία) </t>
  </si>
  <si>
    <t>ΣΕΛΙΔΑ 1</t>
  </si>
  <si>
    <t>ΣΕΛΙΔΑ 2</t>
  </si>
  <si>
    <t>ΣΕΛΙΔΑ 3</t>
  </si>
  <si>
    <t>ΣΕΛΙΔΑ 4</t>
  </si>
  <si>
    <t>ΣΕΛΙΔΑ 5</t>
  </si>
  <si>
    <t>ΣΕΛΙΔΑ 6</t>
  </si>
  <si>
    <t>ΣΕΛΙΔΑ 7</t>
  </si>
  <si>
    <t>ΣΕΛΙΔΑ 8</t>
  </si>
  <si>
    <t>ΣΕΛΙΔΑ 9</t>
  </si>
  <si>
    <t>ΣΕΛΙΔΑ 10</t>
  </si>
  <si>
    <t>ΣΕΛΙΔΑ 11</t>
  </si>
  <si>
    <t>ΣΕΛΙΔΑ 12</t>
  </si>
  <si>
    <t>ΣΕΛΙΔΑ 13</t>
  </si>
  <si>
    <t>ΣΕΛΙΔΑ 14</t>
  </si>
  <si>
    <t>ΣΕΛΙΔΑ 15</t>
  </si>
  <si>
    <t>ΣΕΛΙΔΑ 16</t>
  </si>
  <si>
    <t>ΣΕΛΙΔΑ 17</t>
  </si>
  <si>
    <t>ΣΕΛΙΔΑ 19</t>
  </si>
  <si>
    <t>ΣΕΛΙΔΑ 20</t>
  </si>
  <si>
    <t>ΟΛΙΚΟ</t>
  </si>
  <si>
    <t>Σπάσιμο - αφαίρεση βάσεις πάγκων/ερμαριών από σκυρόδεμα , απομάκρυνση , εξομάλυνση επιφάνειας και ετοιμασία για να δεχτεί σκριτ</t>
  </si>
  <si>
    <t>Ποσό Προσφοράς σε Έντυπο Προσφοράς (ΕΚΤΟΣ ΦΠΑ)</t>
  </si>
  <si>
    <t>ΓΕΝΙΚΗ ΠΕΡΙΛΗΨΗ</t>
  </si>
  <si>
    <t>ΔΕΛΤΙΟ</t>
  </si>
  <si>
    <t>BLOCK 1</t>
  </si>
  <si>
    <t>BLOCK 2</t>
  </si>
  <si>
    <t>BLOCK 3</t>
  </si>
  <si>
    <t>BLOCK 4</t>
  </si>
  <si>
    <t>BLOCK 5</t>
  </si>
  <si>
    <t>BLOCK 6</t>
  </si>
  <si>
    <t>ΕΡΓΑΣΙΕΣ ΜΕ ΑΠΟΛΟΓΙΣΜΟ</t>
  </si>
  <si>
    <t>ΜΕΙΟΝ ΕΚΠΤΩΣΗ</t>
  </si>
  <si>
    <t xml:space="preserve">ΣΥΜΠΕΡΙΛΑΒΕΤΑΙ ΑΠΡΟΒΛΕΠΤΑ </t>
  </si>
  <si>
    <r>
      <t xml:space="preserve">Προμήθεια και τοποθέτηση επιτοίχιο λέβητα γκαζιού 18 kilowatt </t>
    </r>
    <r>
      <rPr>
        <b/>
        <sz val="18"/>
        <rFont val="Arial"/>
        <family val="2"/>
      </rPr>
      <t>(σε περίπτωση που χρειαστούν εργασίες για παροχές  γκαζιού θα δοθούν οδηγίες)</t>
    </r>
  </si>
  <si>
    <r>
      <rPr>
        <b/>
        <u/>
        <sz val="18"/>
        <rFont val="Arial"/>
        <family val="2"/>
      </rPr>
      <t>Προνοητικό ποσόν</t>
    </r>
    <r>
      <rPr>
        <sz val="18"/>
        <rFont val="Arial"/>
        <family val="2"/>
      </rPr>
      <t xml:space="preserve"> για αφαίρεση και απομάκρυνση ξύλινων καρκανιών και flashing</t>
    </r>
  </si>
  <si>
    <r>
      <rPr>
        <b/>
        <u/>
        <sz val="18"/>
        <rFont val="Arial"/>
        <family val="2"/>
      </rPr>
      <t>Προνοητικό ποσόν</t>
    </r>
    <r>
      <rPr>
        <sz val="18"/>
        <rFont val="Arial"/>
        <family val="2"/>
      </rPr>
      <t xml:space="preserve"> για αφαίρεση μεταλλικών χολέτρων , φύλαξη και επανατοποθέτηση </t>
    </r>
  </si>
  <si>
    <r>
      <rPr>
        <b/>
        <u/>
        <sz val="18"/>
        <rFont val="Arial"/>
        <family val="2"/>
      </rPr>
      <t>Προνοητικό ποσόν</t>
    </r>
    <r>
      <rPr>
        <sz val="18"/>
        <rFont val="Arial"/>
        <family val="2"/>
      </rPr>
      <t xml:space="preserve"> για διορθώσεις ξύλινης στέγης  και αντισκουριακή βαφή  συμπεριλαμβανομένου όλων των στηρίξεων κλπ και ετοιμασία για να δεχτεί sandwitch panel </t>
    </r>
  </si>
  <si>
    <r>
      <rPr>
        <b/>
        <u/>
        <sz val="18"/>
        <rFont val="Arial"/>
        <family val="2"/>
      </rPr>
      <t>Προνοητικό ποσόν</t>
    </r>
    <r>
      <rPr>
        <sz val="18"/>
        <rFont val="Arial"/>
        <family val="2"/>
      </rPr>
      <t xml:space="preserve"> για κατασευή ξύλινων καρκανιών και επένδυση με λαμαρίνα χρώματος άσπρου </t>
    </r>
  </si>
  <si>
    <r>
      <t>Προμήθεια και τοποθέτηση κεραμικών αξίας αγοράς</t>
    </r>
    <r>
      <rPr>
        <b/>
        <sz val="18"/>
        <rFont val="Arial"/>
        <family val="2"/>
      </rPr>
      <t xml:space="preserve"> </t>
    </r>
    <r>
      <rPr>
        <b/>
        <sz val="20"/>
        <rFont val="Calibri"/>
        <family val="2"/>
      </rPr>
      <t>€20</t>
    </r>
    <r>
      <rPr>
        <b/>
        <sz val="20"/>
        <rFont val="Arial"/>
        <family val="2"/>
      </rPr>
      <t>,</t>
    </r>
    <r>
      <rPr>
        <b/>
        <sz val="18"/>
        <rFont val="Arial"/>
        <family val="2"/>
      </rPr>
      <t>00/Μ2</t>
    </r>
    <r>
      <rPr>
        <sz val="18"/>
        <rFont val="Arial"/>
        <family val="2"/>
      </rPr>
      <t xml:space="preserve"> συμπεριλαμβνομένου γόμμα κατηγορίας C2TES2 και αδιάβροχου αρμού σε </t>
    </r>
    <r>
      <rPr>
        <b/>
        <sz val="18"/>
        <rFont val="Arial"/>
        <family val="2"/>
      </rPr>
      <t>εσσωτερικά δάπεδα</t>
    </r>
  </si>
  <si>
    <r>
      <t xml:space="preserve">Προμήθεια και τοποθέτηση κεραμικών με ρύσεις αξίας αγοράς </t>
    </r>
    <r>
      <rPr>
        <b/>
        <sz val="20"/>
        <rFont val="Calibri"/>
        <family val="2"/>
      </rPr>
      <t>€2</t>
    </r>
    <r>
      <rPr>
        <b/>
        <sz val="18"/>
        <rFont val="Arial"/>
        <family val="2"/>
      </rPr>
      <t xml:space="preserve">0,00/Μ2 </t>
    </r>
    <r>
      <rPr>
        <sz val="18"/>
        <rFont val="Arial"/>
        <family val="2"/>
      </rPr>
      <t xml:space="preserve">συμπεριλαμβνομένου γόμμα κατηγορίας C2TES2 και αδιάβροχου αρμού σε </t>
    </r>
    <r>
      <rPr>
        <b/>
        <sz val="18"/>
        <rFont val="Arial"/>
        <family val="2"/>
      </rPr>
      <t>βεράντες</t>
    </r>
  </si>
  <si>
    <r>
      <t xml:space="preserve">Προμήθεια και τοποθέτηση πορσελάνων σε χώρους υγιεινής αξίας αγοράς </t>
    </r>
    <r>
      <rPr>
        <b/>
        <sz val="20"/>
        <rFont val="Calibri"/>
        <family val="2"/>
      </rPr>
      <t>€2</t>
    </r>
    <r>
      <rPr>
        <b/>
        <sz val="18"/>
        <rFont val="Arial"/>
        <family val="2"/>
      </rPr>
      <t>0,00/Μ2</t>
    </r>
    <r>
      <rPr>
        <sz val="18"/>
        <rFont val="Arial"/>
        <family val="2"/>
      </rPr>
      <t xml:space="preserve"> συμπεριλαμβνομένου γόμμα κατηγορίας C2TES2 και αδιάβροχου αρμού </t>
    </r>
  </si>
  <si>
    <r>
      <t xml:space="preserve">Προμήθεια και τοποθέτηση </t>
    </r>
    <r>
      <rPr>
        <b/>
        <sz val="18"/>
        <rFont val="Arial"/>
        <family val="2"/>
      </rPr>
      <t>καπάκι πάγκου κουζίνας</t>
    </r>
    <r>
      <rPr>
        <sz val="18"/>
        <rFont val="Arial"/>
        <family val="2"/>
      </rPr>
      <t xml:space="preserve"> από τεχνογρανίτη αξίας αγοράς </t>
    </r>
    <r>
      <rPr>
        <sz val="20"/>
        <rFont val="Calibri"/>
        <family val="2"/>
      </rPr>
      <t>€180,00</t>
    </r>
    <r>
      <rPr>
        <sz val="18"/>
        <rFont val="Arial"/>
        <family val="2"/>
      </rPr>
      <t>/Μ συμπεριλαμβνομένου γόμμα συγκόλλισης και αρμολόγισης</t>
    </r>
  </si>
  <si>
    <r>
      <t xml:space="preserve">Προμήθεια και τοποθέτηση σε </t>
    </r>
    <r>
      <rPr>
        <b/>
        <sz val="18"/>
        <rFont val="Arial"/>
        <family val="2"/>
      </rPr>
      <t>τοίχο μεταξύ πάγκων και ερμαριών κουζίνας</t>
    </r>
    <r>
      <rPr>
        <sz val="18"/>
        <rFont val="Arial"/>
        <family val="2"/>
      </rPr>
      <t xml:space="preserve"> τεχνογρανίτη αξίας αγοράς </t>
    </r>
    <r>
      <rPr>
        <sz val="20"/>
        <rFont val="Calibri"/>
        <family val="2"/>
      </rPr>
      <t>€180,00</t>
    </r>
    <r>
      <rPr>
        <sz val="18"/>
        <rFont val="Arial"/>
        <family val="2"/>
      </rPr>
      <t>/Μ συμπεριλαμβνομένου γόμμα συγκόλλισης και αρμολόγισης</t>
    </r>
  </si>
  <si>
    <r>
      <t xml:space="preserve">Προμήθεια και τοποθέτηση </t>
    </r>
    <r>
      <rPr>
        <b/>
        <sz val="18"/>
        <rFont val="Arial"/>
        <family val="2"/>
      </rPr>
      <t xml:space="preserve">καπάκι πάγκου σε χώρους υγιεινής </t>
    </r>
    <r>
      <rPr>
        <sz val="18"/>
        <rFont val="Arial"/>
        <family val="2"/>
      </rPr>
      <t xml:space="preserve">από τεχνογρανίτη αξίας αγοράς </t>
    </r>
    <r>
      <rPr>
        <sz val="20"/>
        <rFont val="Calibri"/>
        <family val="2"/>
      </rPr>
      <t>€1800,00</t>
    </r>
    <r>
      <rPr>
        <sz val="18"/>
        <rFont val="Arial"/>
        <family val="2"/>
      </rPr>
      <t>/Μ συμπεριλαμβνομένου γόμμα συγκόλλισης και αρμολόγισης</t>
    </r>
  </si>
  <si>
    <r>
      <t xml:space="preserve">Προμήθεια και τοποθέτηση </t>
    </r>
    <r>
      <rPr>
        <b/>
        <sz val="18"/>
        <rFont val="Arial"/>
        <family val="2"/>
      </rPr>
      <t>καπάκι και πλαΐνά νησίδας</t>
    </r>
    <r>
      <rPr>
        <sz val="18"/>
        <rFont val="Arial"/>
        <family val="2"/>
      </rPr>
      <t xml:space="preserve"> από τεχνογρανίτη αξίας αγοράς </t>
    </r>
    <r>
      <rPr>
        <sz val="20"/>
        <rFont val="Calibri"/>
        <family val="2"/>
      </rPr>
      <t>€180,00</t>
    </r>
    <r>
      <rPr>
        <sz val="18"/>
        <rFont val="Arial"/>
        <family val="2"/>
      </rPr>
      <t>/Μ συμπεριλαμβνομένου γόμμα συγκόλλισης και αρμολόγισης</t>
    </r>
  </si>
  <si>
    <t>Προσθέσατε για κέρδος και βοήθειες</t>
  </si>
  <si>
    <r>
      <rPr>
        <b/>
        <sz val="18"/>
        <rFont val="Arial"/>
        <family val="2"/>
      </rPr>
      <t>Προνοητικό ποσό</t>
    </r>
    <r>
      <rPr>
        <sz val="18"/>
        <rFont val="Arial"/>
        <family val="2"/>
      </rPr>
      <t xml:space="preserve"> για διόρθωση/αντικατάσταση υφιστάμενων μηχανημάτων / ντιποζίτων </t>
    </r>
    <r>
      <rPr>
        <sz val="18"/>
        <rFont val="Calibri"/>
        <family val="2"/>
      </rPr>
      <t>€</t>
    </r>
    <r>
      <rPr>
        <sz val="18"/>
        <rFont val="Arial"/>
        <family val="2"/>
      </rPr>
      <t>….....</t>
    </r>
  </si>
  <si>
    <r>
      <rPr>
        <b/>
        <sz val="18"/>
        <rFont val="Arial"/>
        <family val="2"/>
      </rPr>
      <t xml:space="preserve">Προνοητικό ποσό </t>
    </r>
    <r>
      <rPr>
        <sz val="18"/>
        <rFont val="Arial"/>
        <family val="2"/>
      </rPr>
      <t xml:space="preserve">για αγορά και προμήθεια ειδών υγιεινής </t>
    </r>
    <r>
      <rPr>
        <sz val="18"/>
        <rFont val="Calibri"/>
        <family val="2"/>
      </rPr>
      <t>€</t>
    </r>
    <r>
      <rPr>
        <sz val="18"/>
        <rFont val="Arial"/>
        <family val="2"/>
      </rPr>
      <t>…....</t>
    </r>
  </si>
  <si>
    <r>
      <rPr>
        <b/>
        <sz val="18"/>
        <rFont val="Arial"/>
        <family val="2"/>
      </rPr>
      <t>Προνοητικό ποσόν</t>
    </r>
    <r>
      <rPr>
        <sz val="18"/>
        <rFont val="Arial"/>
        <family val="2"/>
      </rPr>
      <t xml:space="preserve"> για ηλεκτρολογικά</t>
    </r>
  </si>
  <si>
    <r>
      <rPr>
        <b/>
        <sz val="18"/>
        <rFont val="Arial"/>
        <family val="2"/>
      </rPr>
      <t>Προνοητικό ποσό</t>
    </r>
    <r>
      <rPr>
        <sz val="18"/>
        <rFont val="Arial"/>
        <family val="2"/>
      </rPr>
      <t xml:space="preserve"> για αγορά και προμήθεια φωτιστικών </t>
    </r>
  </si>
  <si>
    <r>
      <rPr>
        <b/>
        <sz val="18"/>
        <rFont val="Arial"/>
        <family val="2"/>
      </rPr>
      <t>Προνοητικό ποσό</t>
    </r>
    <r>
      <rPr>
        <sz val="18"/>
        <rFont val="Arial"/>
        <family val="2"/>
      </rPr>
      <t xml:space="preserve"> για αγορά και προμήθεια ειδών υγιεινής </t>
    </r>
    <r>
      <rPr>
        <sz val="18"/>
        <rFont val="Calibri"/>
        <family val="2"/>
      </rPr>
      <t>€</t>
    </r>
    <r>
      <rPr>
        <sz val="18"/>
        <rFont val="Arial"/>
        <family val="2"/>
      </rPr>
      <t>…....</t>
    </r>
  </si>
  <si>
    <r>
      <t xml:space="preserve">........%  επί </t>
    </r>
    <r>
      <rPr>
        <b/>
        <sz val="9"/>
        <rFont val="Calibri"/>
        <family val="2"/>
      </rPr>
      <t xml:space="preserve">€ </t>
    </r>
    <r>
      <rPr>
        <b/>
        <sz val="9"/>
        <rFont val="Arial"/>
        <family val="2"/>
        <charset val="161"/>
      </rPr>
      <t>00,00</t>
    </r>
  </si>
  <si>
    <r>
      <t xml:space="preserve">Ανοίγματα καναλιών σε υφιστάμενα </t>
    </r>
    <r>
      <rPr>
        <b/>
        <strike/>
        <sz val="18"/>
        <rFont val="Arial"/>
        <family val="2"/>
      </rPr>
      <t>δάπεδα</t>
    </r>
    <r>
      <rPr>
        <strike/>
        <sz val="18"/>
        <rFont val="Arial"/>
        <family val="2"/>
      </rPr>
      <t xml:space="preserve"> , κλείσιμο και αποκατάσταση επιφάνειας για νέα </t>
    </r>
    <r>
      <rPr>
        <b/>
        <strike/>
        <sz val="18"/>
        <rFont val="Arial"/>
        <family val="2"/>
      </rPr>
      <t>μηχανολογική εγκατάσταση</t>
    </r>
  </si>
  <si>
    <r>
      <t xml:space="preserve">Προμήθεια και τοποθέτηση επιτοίχιο λέβητα γκαζιού 18 kilowatt </t>
    </r>
    <r>
      <rPr>
        <b/>
        <strike/>
        <sz val="18"/>
        <rFont val="Arial"/>
        <family val="2"/>
      </rPr>
      <t>(σε περίπτωση που χρειαστούν εργασίες για παροχές  γκαζιού θα δοθούν οδηγίες)</t>
    </r>
  </si>
  <si>
    <r>
      <t xml:space="preserve">Έλεγχος , καθάρισμα ή και προσθήκη αέριο σε κλιματιστικό και εκκίνιση για λειτουργεία </t>
    </r>
    <r>
      <rPr>
        <b/>
        <strike/>
        <sz val="18"/>
        <rFont val="Arial"/>
        <family val="2"/>
      </rPr>
      <t>( σε περίπτωση που κάποιο μηχάνημα χρειάζεται άλλη εργασία για διόρθωση ή και αντικατάσταη θα δοθούν οδηγίες επί τόπου)</t>
    </r>
  </si>
  <si>
    <r>
      <rPr>
        <b/>
        <strike/>
        <sz val="18"/>
        <rFont val="Arial"/>
        <family val="2"/>
      </rPr>
      <t>Προνοητικό ποσό</t>
    </r>
    <r>
      <rPr>
        <strike/>
        <sz val="18"/>
        <rFont val="Arial"/>
        <family val="2"/>
      </rPr>
      <t xml:space="preserve"> για διόρθωση/αντικατάσταση υφιστάμενων μηχανημάτων / ντιποζίτων </t>
    </r>
    <r>
      <rPr>
        <strike/>
        <sz val="18"/>
        <rFont val="Calibri"/>
        <family val="2"/>
      </rPr>
      <t>€</t>
    </r>
    <r>
      <rPr>
        <strike/>
        <sz val="1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</si>
</sst>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Δ_ρ_χ_-;\-* #,##0.00\ _Δ_ρ_χ_-;_-* &quot;-&quot;??\ _Δ_ρ_χ_-;_-@_-"/>
  </numFmts>
  <fonts count="6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name val="Arial"/>
      <family val="2"/>
    </font>
    <font>
      <b/>
      <u/>
      <sz val="11"/>
      <name val="Arial"/>
      <family val="2"/>
    </font>
    <font>
      <b/>
      <sz val="11"/>
      <name val="Arial"/>
      <family val="2"/>
    </font>
    <font>
      <sz val="11"/>
      <color theme="1"/>
      <name val="Calibri"/>
      <family val="2"/>
      <scheme val="minor"/>
    </font>
    <font>
      <sz val="10"/>
      <name val="Arial"/>
      <family val="2"/>
    </font>
    <font>
      <sz val="10"/>
      <name val="Arial"/>
      <family val="2"/>
      <charset val="161"/>
    </font>
    <font>
      <sz val="11"/>
      <color theme="1"/>
      <name val="Calibri"/>
      <family val="2"/>
      <charset val="161"/>
      <scheme val="minor"/>
    </font>
    <font>
      <sz val="11"/>
      <name val="Arial"/>
      <family val="2"/>
    </font>
    <font>
      <b/>
      <sz val="11"/>
      <name val="Arial"/>
      <family val="2"/>
    </font>
    <font>
      <b/>
      <u/>
      <sz val="11"/>
      <name val="Arial"/>
      <family val="2"/>
    </font>
    <font>
      <u/>
      <sz val="11"/>
      <name val="Arial"/>
      <family val="2"/>
    </font>
    <font>
      <sz val="11"/>
      <color theme="1"/>
      <name val="Arial"/>
      <family val="2"/>
    </font>
    <font>
      <b/>
      <sz val="11"/>
      <color theme="1"/>
      <name val="Arial"/>
      <family val="2"/>
    </font>
    <font>
      <b/>
      <sz val="11"/>
      <color rgb="FFFF0000"/>
      <name val="Arial"/>
      <family val="2"/>
    </font>
    <font>
      <b/>
      <u/>
      <sz val="11"/>
      <color theme="1"/>
      <name val="Arial"/>
      <family val="2"/>
    </font>
    <font>
      <b/>
      <sz val="11"/>
      <name val="Arial"/>
      <family val="2"/>
      <charset val="161"/>
    </font>
    <font>
      <sz val="11"/>
      <color rgb="FF000000"/>
      <name val="Arial"/>
      <family val="2"/>
    </font>
    <font>
      <b/>
      <sz val="11"/>
      <color rgb="FFFF0000"/>
      <name val="Arial"/>
      <family val="2"/>
      <charset val="161"/>
    </font>
    <font>
      <sz val="11"/>
      <color rgb="FFFF0000"/>
      <name val="Arial"/>
      <family val="2"/>
      <charset val="161"/>
    </font>
    <font>
      <sz val="11"/>
      <name val="Arial"/>
      <family val="2"/>
      <charset val="161"/>
    </font>
    <font>
      <b/>
      <u/>
      <sz val="11"/>
      <color rgb="FFFF0000"/>
      <name val="Arial"/>
      <family val="2"/>
    </font>
    <font>
      <b/>
      <u/>
      <sz val="11"/>
      <name val="Arial"/>
      <family val="2"/>
      <charset val="161"/>
    </font>
    <font>
      <sz val="11"/>
      <color rgb="FFFF0000"/>
      <name val="Arial"/>
      <family val="2"/>
    </font>
    <font>
      <b/>
      <u/>
      <sz val="9"/>
      <name val="Arial"/>
      <family val="2"/>
      <charset val="161"/>
    </font>
    <font>
      <sz val="9"/>
      <name val="Arial"/>
      <family val="2"/>
      <charset val="161"/>
    </font>
    <font>
      <sz val="10"/>
      <color rgb="FFFF0000"/>
      <name val="Arial"/>
      <family val="2"/>
      <charset val="161"/>
    </font>
    <font>
      <sz val="8"/>
      <name val="Arial"/>
      <family val="2"/>
      <charset val="161"/>
    </font>
    <font>
      <u/>
      <sz val="9"/>
      <name val="Arial"/>
      <family val="2"/>
      <charset val="161"/>
    </font>
    <font>
      <b/>
      <sz val="9"/>
      <name val="Arial"/>
      <family val="2"/>
      <charset val="161"/>
    </font>
    <font>
      <b/>
      <sz val="9"/>
      <name val="Calibri"/>
      <family val="2"/>
    </font>
    <font>
      <b/>
      <u val="double"/>
      <sz val="9"/>
      <name val="Arial"/>
      <family val="2"/>
      <charset val="161"/>
    </font>
    <font>
      <sz val="8"/>
      <name val="Calibri"/>
      <family val="2"/>
      <charset val="161"/>
      <scheme val="minor"/>
    </font>
    <font>
      <strike/>
      <sz val="11"/>
      <name val="Arial"/>
      <family val="2"/>
    </font>
    <font>
      <b/>
      <u/>
      <sz val="11"/>
      <color rgb="FF000000"/>
      <name val="Arial"/>
      <family val="2"/>
    </font>
    <font>
      <b/>
      <sz val="11"/>
      <color rgb="FF000000"/>
      <name val="Arial"/>
      <family val="2"/>
    </font>
    <font>
      <sz val="10"/>
      <name val="Arial"/>
      <family val="2"/>
    </font>
    <font>
      <sz val="18"/>
      <name val="Arial"/>
      <family val="2"/>
    </font>
    <font>
      <b/>
      <sz val="18"/>
      <name val="Arial"/>
      <family val="2"/>
    </font>
    <font>
      <b/>
      <u/>
      <sz val="18"/>
      <name val="Arial"/>
      <family val="2"/>
    </font>
    <font>
      <u/>
      <sz val="18"/>
      <name val="Arial"/>
      <family val="2"/>
    </font>
    <font>
      <sz val="18"/>
      <name val="Calibri"/>
      <family val="2"/>
    </font>
    <font>
      <sz val="20"/>
      <name val="Calibri"/>
      <family val="2"/>
    </font>
    <font>
      <sz val="14"/>
      <name val="Arial"/>
      <family val="2"/>
    </font>
    <font>
      <sz val="16"/>
      <name val="Arial"/>
      <family val="2"/>
    </font>
    <font>
      <b/>
      <u/>
      <sz val="14"/>
      <name val="Arial"/>
      <family val="2"/>
    </font>
    <font>
      <u/>
      <sz val="16"/>
      <name val="Arial"/>
      <family val="2"/>
    </font>
    <font>
      <b/>
      <sz val="14"/>
      <name val="Arial"/>
      <family val="2"/>
    </font>
    <font>
      <b/>
      <sz val="20"/>
      <name val="Calibri"/>
      <family val="2"/>
    </font>
    <font>
      <b/>
      <sz val="20"/>
      <name val="Arial"/>
      <family val="2"/>
    </font>
    <font>
      <b/>
      <sz val="12"/>
      <name val="Arial"/>
      <family val="2"/>
    </font>
    <font>
      <strike/>
      <sz val="18"/>
      <name val="Arial"/>
      <family val="2"/>
    </font>
    <font>
      <b/>
      <strike/>
      <sz val="18"/>
      <name val="Arial"/>
      <family val="2"/>
    </font>
    <font>
      <strike/>
      <sz val="14"/>
      <name val="Arial"/>
      <family val="2"/>
    </font>
    <font>
      <strike/>
      <sz val="18"/>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double">
        <color indexed="64"/>
      </right>
      <top/>
      <bottom/>
      <diagonal/>
    </border>
    <border>
      <left/>
      <right style="double">
        <color indexed="64"/>
      </right>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diagonal/>
    </border>
    <border>
      <left style="double">
        <color indexed="64"/>
      </left>
      <right/>
      <top/>
      <bottom/>
      <diagonal/>
    </border>
    <border>
      <left style="double">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bottom style="double">
        <color indexed="64"/>
      </bottom>
      <diagonal/>
    </border>
  </borders>
  <cellStyleXfs count="28">
    <xf numFmtId="0" fontId="0" fillId="0" borderId="0"/>
    <xf numFmtId="0" fontId="5" fillId="0" borderId="0"/>
    <xf numFmtId="0" fontId="6" fillId="0" borderId="0"/>
    <xf numFmtId="0" fontId="10" fillId="0" borderId="0"/>
    <xf numFmtId="0" fontId="6" fillId="0" borderId="0"/>
    <xf numFmtId="0" fontId="5" fillId="0" borderId="0"/>
    <xf numFmtId="0" fontId="5" fillId="0" borderId="0"/>
    <xf numFmtId="0" fontId="4" fillId="0" borderId="0"/>
    <xf numFmtId="0" fontId="11" fillId="0" borderId="0"/>
    <xf numFmtId="164" fontId="5" fillId="0" borderId="0" applyFont="0" applyFill="0" applyBorder="0" applyAlignment="0" applyProtection="0"/>
    <xf numFmtId="0" fontId="5" fillId="0" borderId="0"/>
    <xf numFmtId="0" fontId="12" fillId="0" borderId="0"/>
    <xf numFmtId="0" fontId="12" fillId="0" borderId="0"/>
    <xf numFmtId="0" fontId="13" fillId="0" borderId="0"/>
    <xf numFmtId="0" fontId="5" fillId="0" borderId="0"/>
    <xf numFmtId="0" fontId="3" fillId="0" borderId="0"/>
    <xf numFmtId="0" fontId="5" fillId="0" borderId="0"/>
    <xf numFmtId="0" fontId="2" fillId="0" borderId="0"/>
    <xf numFmtId="0" fontId="12" fillId="0" borderId="0"/>
    <xf numFmtId="0" fontId="1" fillId="0" borderId="0"/>
    <xf numFmtId="0" fontId="1" fillId="0" borderId="0"/>
    <xf numFmtId="0" fontId="1" fillId="0" borderId="0"/>
    <xf numFmtId="0" fontId="13" fillId="0" borderId="0"/>
    <xf numFmtId="0" fontId="13" fillId="0" borderId="0"/>
    <xf numFmtId="0" fontId="13" fillId="0" borderId="0"/>
    <xf numFmtId="0" fontId="5" fillId="0" borderId="0"/>
    <xf numFmtId="0" fontId="13" fillId="0" borderId="0"/>
    <xf numFmtId="0" fontId="42" fillId="0" borderId="0"/>
  </cellStyleXfs>
  <cellXfs count="451">
    <xf numFmtId="0" fontId="0" fillId="0" borderId="0" xfId="0"/>
    <xf numFmtId="0" fontId="7" fillId="0" borderId="3" xfId="5" applyFont="1" applyBorder="1" applyAlignment="1">
      <alignment horizontal="center" vertical="top"/>
    </xf>
    <xf numFmtId="0" fontId="7" fillId="0" borderId="0" xfId="5" applyFont="1" applyAlignment="1">
      <alignment horizontal="center"/>
    </xf>
    <xf numFmtId="0" fontId="7" fillId="0" borderId="0" xfId="6" applyFont="1"/>
    <xf numFmtId="0" fontId="7" fillId="0" borderId="3" xfId="6" applyFont="1" applyBorder="1" applyAlignment="1">
      <alignment horizontal="center" vertical="top"/>
    </xf>
    <xf numFmtId="0" fontId="8" fillId="0" borderId="0" xfId="5" applyFont="1" applyAlignment="1">
      <alignment vertical="top" wrapText="1"/>
    </xf>
    <xf numFmtId="4" fontId="7" fillId="0" borderId="1" xfId="5" applyNumberFormat="1" applyFont="1" applyBorder="1" applyAlignment="1">
      <alignment horizontal="center"/>
    </xf>
    <xf numFmtId="0" fontId="8" fillId="0" borderId="0" xfId="6" applyFont="1" applyAlignment="1">
      <alignment vertical="top" wrapText="1"/>
    </xf>
    <xf numFmtId="0" fontId="14" fillId="0" borderId="0" xfId="5" applyFont="1"/>
    <xf numFmtId="0" fontId="15" fillId="0" borderId="0" xfId="5" applyFont="1"/>
    <xf numFmtId="0" fontId="15" fillId="0" borderId="0" xfId="5" applyFont="1" applyAlignment="1">
      <alignment vertical="top"/>
    </xf>
    <xf numFmtId="0" fontId="14" fillId="0" borderId="0" xfId="5" applyFont="1" applyAlignment="1">
      <alignment horizontal="center" vertical="top"/>
    </xf>
    <xf numFmtId="0" fontId="14" fillId="0" borderId="0" xfId="5" applyFont="1" applyAlignment="1">
      <alignment vertical="top"/>
    </xf>
    <xf numFmtId="0" fontId="14" fillId="0" borderId="0" xfId="5" applyFont="1" applyAlignment="1">
      <alignment horizontal="center"/>
    </xf>
    <xf numFmtId="0" fontId="14" fillId="0" borderId="0" xfId="5" applyFont="1" applyAlignment="1">
      <alignment horizontal="center" vertical="center"/>
    </xf>
    <xf numFmtId="0" fontId="15" fillId="0" borderId="0" xfId="5" applyFont="1" applyAlignment="1">
      <alignment horizontal="center"/>
    </xf>
    <xf numFmtId="0" fontId="14" fillId="0" borderId="2" xfId="5" applyFont="1" applyBorder="1"/>
    <xf numFmtId="0" fontId="14" fillId="0" borderId="2" xfId="5" applyFont="1" applyBorder="1" applyAlignment="1">
      <alignment vertical="top"/>
    </xf>
    <xf numFmtId="0" fontId="14" fillId="0" borderId="2" xfId="5" applyFont="1" applyBorder="1" applyAlignment="1">
      <alignment horizontal="center"/>
    </xf>
    <xf numFmtId="0" fontId="15" fillId="0" borderId="2" xfId="5" applyFont="1" applyBorder="1" applyAlignment="1">
      <alignment horizontal="center"/>
    </xf>
    <xf numFmtId="0" fontId="15" fillId="0" borderId="11" xfId="5" applyFont="1" applyBorder="1" applyAlignment="1">
      <alignment horizontal="center"/>
    </xf>
    <xf numFmtId="0" fontId="14" fillId="0" borderId="5" xfId="5" applyFont="1" applyBorder="1" applyAlignment="1">
      <alignment horizontal="center" vertical="top"/>
    </xf>
    <xf numFmtId="0" fontId="15" fillId="0" borderId="2" xfId="5" applyFont="1" applyBorder="1"/>
    <xf numFmtId="0" fontId="15" fillId="0" borderId="2" xfId="5" applyFont="1" applyBorder="1" applyAlignment="1">
      <alignment vertical="top"/>
    </xf>
    <xf numFmtId="0" fontId="15" fillId="0" borderId="6" xfId="5" applyFont="1" applyBorder="1" applyAlignment="1">
      <alignment horizontal="center"/>
    </xf>
    <xf numFmtId="0" fontId="15" fillId="0" borderId="12" xfId="5" applyFont="1" applyBorder="1"/>
    <xf numFmtId="0" fontId="14" fillId="0" borderId="3" xfId="5" applyFont="1" applyBorder="1" applyAlignment="1">
      <alignment horizontal="center" vertical="top"/>
    </xf>
    <xf numFmtId="0" fontId="15" fillId="0" borderId="4" xfId="5" applyFont="1" applyBorder="1" applyAlignment="1">
      <alignment horizontal="center"/>
    </xf>
    <xf numFmtId="0" fontId="15" fillId="0" borderId="14" xfId="5" applyFont="1" applyBorder="1"/>
    <xf numFmtId="0" fontId="14" fillId="0" borderId="4" xfId="5" applyFont="1" applyBorder="1" applyAlignment="1">
      <alignment horizontal="center"/>
    </xf>
    <xf numFmtId="3" fontId="14" fillId="0" borderId="0" xfId="5" applyNumberFormat="1" applyFont="1" applyAlignment="1">
      <alignment horizontal="center"/>
    </xf>
    <xf numFmtId="0" fontId="14" fillId="0" borderId="14" xfId="5" applyFont="1" applyBorder="1"/>
    <xf numFmtId="4" fontId="14" fillId="0" borderId="1" xfId="5" applyNumberFormat="1" applyFont="1" applyBorder="1" applyAlignment="1">
      <alignment horizontal="center"/>
    </xf>
    <xf numFmtId="0" fontId="16" fillId="0" borderId="0" xfId="5" applyFont="1" applyAlignment="1">
      <alignment horizontal="left" vertical="top" wrapText="1"/>
    </xf>
    <xf numFmtId="3" fontId="15" fillId="0" borderId="0" xfId="5" applyNumberFormat="1" applyFont="1" applyAlignment="1">
      <alignment horizontal="center"/>
    </xf>
    <xf numFmtId="4" fontId="15" fillId="0" borderId="1" xfId="5" applyNumberFormat="1" applyFont="1" applyBorder="1" applyAlignment="1">
      <alignment horizontal="center"/>
    </xf>
    <xf numFmtId="0" fontId="14" fillId="0" borderId="0" xfId="5" applyFont="1" applyAlignment="1">
      <alignment vertical="top" wrapText="1"/>
    </xf>
    <xf numFmtId="0" fontId="14" fillId="0" borderId="0" xfId="5" applyFont="1" applyAlignment="1">
      <alignment horizontal="left" vertical="top" wrapText="1"/>
    </xf>
    <xf numFmtId="2" fontId="15" fillId="0" borderId="0" xfId="5" applyNumberFormat="1" applyFont="1" applyAlignment="1">
      <alignment horizontal="center"/>
    </xf>
    <xf numFmtId="0" fontId="14" fillId="0" borderId="0" xfId="5" applyFont="1" applyAlignment="1">
      <alignment horizontal="left" vertical="top"/>
    </xf>
    <xf numFmtId="0" fontId="16" fillId="0" borderId="0" xfId="1" applyFont="1" applyAlignment="1">
      <alignment horizontal="left" vertical="top"/>
    </xf>
    <xf numFmtId="0" fontId="15" fillId="0" borderId="4" xfId="5" applyFont="1" applyBorder="1" applyAlignment="1">
      <alignment horizontal="center" vertical="top"/>
    </xf>
    <xf numFmtId="0" fontId="16" fillId="0" borderId="0" xfId="6" applyFont="1" applyAlignment="1">
      <alignment horizontal="left" vertical="top" wrapText="1"/>
    </xf>
    <xf numFmtId="0" fontId="14" fillId="0" borderId="4" xfId="6" applyFont="1" applyBorder="1" applyAlignment="1">
      <alignment horizontal="center"/>
    </xf>
    <xf numFmtId="0" fontId="14" fillId="0" borderId="0" xfId="0" applyFont="1" applyAlignment="1">
      <alignment horizontal="left" vertical="top" wrapText="1"/>
    </xf>
    <xf numFmtId="0" fontId="16" fillId="0" borderId="0" xfId="0" applyFont="1" applyAlignment="1">
      <alignment horizontal="left" vertical="top" wrapText="1"/>
    </xf>
    <xf numFmtId="0" fontId="16" fillId="0" borderId="6" xfId="5" applyFont="1" applyBorder="1" applyAlignment="1">
      <alignment horizontal="center"/>
    </xf>
    <xf numFmtId="0" fontId="14" fillId="0" borderId="12" xfId="5" applyFont="1" applyBorder="1"/>
    <xf numFmtId="0" fontId="14" fillId="0" borderId="13" xfId="5" applyFont="1" applyBorder="1" applyAlignment="1">
      <alignment horizontal="center" vertical="center"/>
    </xf>
    <xf numFmtId="0" fontId="16" fillId="0" borderId="0" xfId="5" applyFont="1" applyAlignment="1">
      <alignment horizontal="center"/>
    </xf>
    <xf numFmtId="0" fontId="15" fillId="0" borderId="18" xfId="5" applyFont="1" applyBorder="1" applyAlignment="1">
      <alignment horizontal="center"/>
    </xf>
    <xf numFmtId="0" fontId="14" fillId="0" borderId="14" xfId="5" applyFont="1" applyBorder="1" applyAlignment="1">
      <alignment horizontal="center" vertical="center"/>
    </xf>
    <xf numFmtId="0" fontId="16" fillId="0" borderId="0" xfId="5" applyFont="1" applyAlignment="1">
      <alignment vertical="top"/>
    </xf>
    <xf numFmtId="0" fontId="15" fillId="0" borderId="0" xfId="5" applyFont="1" applyAlignment="1">
      <alignment horizontal="right"/>
    </xf>
    <xf numFmtId="4" fontId="15" fillId="0" borderId="15" xfId="5" applyNumberFormat="1" applyFont="1" applyBorder="1" applyAlignment="1">
      <alignment horizontal="center" vertical="center"/>
    </xf>
    <xf numFmtId="0" fontId="14" fillId="0" borderId="0" xfId="17" applyFont="1"/>
    <xf numFmtId="0" fontId="14" fillId="0" borderId="6" xfId="5" applyFont="1" applyBorder="1" applyAlignment="1">
      <alignment horizontal="center"/>
    </xf>
    <xf numFmtId="0" fontId="15" fillId="0" borderId="4" xfId="5" applyFont="1" applyBorder="1" applyAlignment="1">
      <alignment horizontal="right"/>
    </xf>
    <xf numFmtId="0" fontId="15" fillId="0" borderId="0" xfId="5" applyFont="1" applyAlignment="1">
      <alignment horizontal="left"/>
    </xf>
    <xf numFmtId="0" fontId="18" fillId="0" borderId="0" xfId="0" applyFont="1" applyAlignment="1">
      <alignment horizontal="center" vertical="top"/>
    </xf>
    <xf numFmtId="0" fontId="18" fillId="0" borderId="0" xfId="0" applyFont="1"/>
    <xf numFmtId="0" fontId="18" fillId="0" borderId="0" xfId="0" applyFont="1" applyAlignment="1">
      <alignment vertical="top"/>
    </xf>
    <xf numFmtId="0" fontId="18" fillId="0" borderId="0" xfId="0" applyFont="1" applyAlignment="1">
      <alignment horizontal="center"/>
    </xf>
    <xf numFmtId="0" fontId="15" fillId="0" borderId="0" xfId="0" applyFont="1" applyAlignment="1">
      <alignment horizontal="left"/>
    </xf>
    <xf numFmtId="0" fontId="18" fillId="0" borderId="7" xfId="0" applyFont="1" applyBorder="1" applyAlignment="1">
      <alignment horizontal="center" vertical="top"/>
    </xf>
    <xf numFmtId="0" fontId="19" fillId="0" borderId="8" xfId="0" applyFont="1" applyBorder="1"/>
    <xf numFmtId="0" fontId="19" fillId="0" borderId="8" xfId="0" applyFont="1" applyBorder="1" applyAlignment="1">
      <alignment vertical="top"/>
    </xf>
    <xf numFmtId="0" fontId="19" fillId="0" borderId="9" xfId="0" applyFont="1" applyBorder="1" applyAlignment="1">
      <alignment horizontal="center"/>
    </xf>
    <xf numFmtId="0" fontId="15" fillId="0" borderId="8" xfId="0" applyFont="1" applyBorder="1" applyAlignment="1">
      <alignment horizontal="center"/>
    </xf>
    <xf numFmtId="0" fontId="19" fillId="0" borderId="10" xfId="0" applyFont="1" applyBorder="1"/>
    <xf numFmtId="0" fontId="19" fillId="0" borderId="9" xfId="0" applyFont="1" applyBorder="1"/>
    <xf numFmtId="0" fontId="19" fillId="0" borderId="16" xfId="0" applyFont="1" applyBorder="1" applyAlignment="1">
      <alignment horizontal="center"/>
    </xf>
    <xf numFmtId="0" fontId="18" fillId="0" borderId="5" xfId="0" applyFont="1" applyBorder="1" applyAlignment="1">
      <alignment horizontal="center" vertical="top"/>
    </xf>
    <xf numFmtId="0" fontId="19" fillId="0" borderId="2" xfId="0" applyFont="1" applyBorder="1"/>
    <xf numFmtId="0" fontId="19" fillId="0" borderId="2" xfId="0" applyFont="1" applyBorder="1" applyAlignment="1">
      <alignment vertical="top"/>
    </xf>
    <xf numFmtId="0" fontId="19" fillId="0" borderId="6" xfId="0" applyFont="1" applyBorder="1" applyAlignment="1">
      <alignment horizontal="center"/>
    </xf>
    <xf numFmtId="0" fontId="15" fillId="0" borderId="2" xfId="0" applyFont="1" applyBorder="1" applyAlignment="1">
      <alignment horizontal="center"/>
    </xf>
    <xf numFmtId="0" fontId="19" fillId="0" borderId="12" xfId="0" applyFont="1" applyBorder="1"/>
    <xf numFmtId="0" fontId="19" fillId="0" borderId="6" xfId="0" applyFont="1" applyBorder="1"/>
    <xf numFmtId="0" fontId="19" fillId="0" borderId="13" xfId="0" applyFont="1" applyBorder="1" applyAlignment="1">
      <alignment horizontal="center"/>
    </xf>
    <xf numFmtId="0" fontId="14" fillId="0" borderId="2" xfId="0" applyFont="1" applyBorder="1" applyAlignment="1">
      <alignment horizontal="left" vertical="top" wrapText="1"/>
    </xf>
    <xf numFmtId="0" fontId="16" fillId="0" borderId="2" xfId="1" applyFont="1" applyBorder="1" applyAlignment="1">
      <alignment horizontal="left" vertical="top"/>
    </xf>
    <xf numFmtId="0" fontId="15" fillId="0" borderId="6" xfId="5" applyFont="1" applyBorder="1" applyAlignment="1">
      <alignment horizontal="center" vertical="top"/>
    </xf>
    <xf numFmtId="3" fontId="15" fillId="0" borderId="2" xfId="5" applyNumberFormat="1" applyFont="1" applyBorder="1" applyAlignment="1">
      <alignment horizontal="center"/>
    </xf>
    <xf numFmtId="4" fontId="15" fillId="0" borderId="13" xfId="5" applyNumberFormat="1" applyFont="1" applyBorder="1" applyAlignment="1">
      <alignment horizontal="center"/>
    </xf>
    <xf numFmtId="0" fontId="15" fillId="0" borderId="0" xfId="5" applyFont="1" applyAlignment="1">
      <alignment horizontal="center" vertical="top"/>
    </xf>
    <xf numFmtId="4" fontId="15" fillId="0" borderId="14" xfId="5" applyNumberFormat="1" applyFont="1" applyBorder="1" applyAlignment="1">
      <alignment horizontal="center"/>
    </xf>
    <xf numFmtId="3" fontId="14" fillId="0" borderId="2" xfId="5" applyNumberFormat="1" applyFont="1" applyBorder="1" applyAlignment="1">
      <alignment horizontal="center"/>
    </xf>
    <xf numFmtId="0" fontId="14" fillId="0" borderId="6" xfId="6" applyFont="1" applyBorder="1" applyAlignment="1">
      <alignment horizontal="center"/>
    </xf>
    <xf numFmtId="4" fontId="14" fillId="0" borderId="13" xfId="5" applyNumberFormat="1" applyFont="1" applyBorder="1" applyAlignment="1">
      <alignment horizontal="center"/>
    </xf>
    <xf numFmtId="0" fontId="16" fillId="0" borderId="0" xfId="1" applyFont="1" applyAlignment="1">
      <alignment horizontal="left" vertical="top" wrapText="1"/>
    </xf>
    <xf numFmtId="2" fontId="14" fillId="0" borderId="4" xfId="17" applyNumberFormat="1" applyFont="1" applyBorder="1" applyAlignment="1">
      <alignment horizontal="center"/>
    </xf>
    <xf numFmtId="0" fontId="14" fillId="0" borderId="0" xfId="17" applyFont="1" applyAlignment="1">
      <alignment horizontal="left" vertical="top" wrapText="1"/>
    </xf>
    <xf numFmtId="0" fontId="16" fillId="0" borderId="4" xfId="13" applyFont="1" applyBorder="1" applyAlignment="1">
      <alignment horizontal="center"/>
    </xf>
    <xf numFmtId="2" fontId="14" fillId="0" borderId="14" xfId="13" applyNumberFormat="1" applyFont="1" applyBorder="1"/>
    <xf numFmtId="4" fontId="14" fillId="0" borderId="0" xfId="17" applyNumberFormat="1" applyFont="1" applyAlignment="1">
      <alignment horizontal="left"/>
    </xf>
    <xf numFmtId="0" fontId="14" fillId="0" borderId="0" xfId="17" applyFont="1" applyAlignment="1">
      <alignment horizontal="left"/>
    </xf>
    <xf numFmtId="1" fontId="20" fillId="0" borderId="0" xfId="17" applyNumberFormat="1" applyFont="1" applyAlignment="1">
      <alignment horizontal="center"/>
    </xf>
    <xf numFmtId="0" fontId="14" fillId="0" borderId="0" xfId="17" applyFont="1" applyAlignment="1">
      <alignment horizontal="center"/>
    </xf>
    <xf numFmtId="0" fontId="14" fillId="0" borderId="0" xfId="13" applyFont="1" applyAlignment="1">
      <alignment vertical="center" wrapText="1"/>
    </xf>
    <xf numFmtId="0" fontId="14" fillId="0" borderId="4" xfId="18" applyFont="1" applyBorder="1" applyAlignment="1">
      <alignment horizontal="center"/>
    </xf>
    <xf numFmtId="0" fontId="16" fillId="0" borderId="0" xfId="6" applyFont="1" applyAlignment="1">
      <alignment vertical="center" wrapText="1"/>
    </xf>
    <xf numFmtId="0" fontId="14" fillId="0" borderId="4" xfId="13" applyFont="1" applyBorder="1" applyAlignment="1">
      <alignment horizontal="center"/>
    </xf>
    <xf numFmtId="0" fontId="14" fillId="0" borderId="0" xfId="13" applyFont="1" applyAlignment="1">
      <alignment horizontal="center"/>
    </xf>
    <xf numFmtId="0" fontId="14" fillId="0" borderId="14" xfId="13" applyFont="1" applyBorder="1"/>
    <xf numFmtId="1" fontId="14" fillId="0" borderId="0" xfId="18" applyNumberFormat="1" applyFont="1" applyAlignment="1">
      <alignment horizontal="center"/>
    </xf>
    <xf numFmtId="0" fontId="14" fillId="0" borderId="14" xfId="18" applyFont="1" applyBorder="1"/>
    <xf numFmtId="0" fontId="17" fillId="0" borderId="0" xfId="6" applyFont="1" applyAlignment="1">
      <alignment vertical="center" wrapText="1"/>
    </xf>
    <xf numFmtId="0" fontId="14" fillId="0" borderId="0" xfId="6" applyFont="1" applyAlignment="1">
      <alignment vertical="center"/>
    </xf>
    <xf numFmtId="0" fontId="14" fillId="0" borderId="0" xfId="18" applyFont="1" applyAlignment="1">
      <alignment vertical="center" wrapText="1"/>
    </xf>
    <xf numFmtId="1" fontId="15" fillId="0" borderId="0" xfId="18" applyNumberFormat="1" applyFont="1" applyAlignment="1">
      <alignment horizontal="center"/>
    </xf>
    <xf numFmtId="0" fontId="14" fillId="0" borderId="0" xfId="18" applyFont="1" applyAlignment="1">
      <alignment vertical="center"/>
    </xf>
    <xf numFmtId="0" fontId="16" fillId="0" borderId="0" xfId="18" applyFont="1" applyAlignment="1">
      <alignment vertical="center" wrapText="1"/>
    </xf>
    <xf numFmtId="0" fontId="14" fillId="0" borderId="0" xfId="11" applyFont="1"/>
    <xf numFmtId="0" fontId="21" fillId="0" borderId="0" xfId="0" applyFont="1" applyAlignment="1">
      <alignment horizontal="center" vertical="top"/>
    </xf>
    <xf numFmtId="0" fontId="21" fillId="0" borderId="9" xfId="0" applyFont="1" applyBorder="1" applyAlignment="1">
      <alignment horizontal="center"/>
    </xf>
    <xf numFmtId="0" fontId="14" fillId="0" borderId="8" xfId="0" applyFont="1" applyBorder="1" applyAlignment="1">
      <alignment horizontal="center"/>
    </xf>
    <xf numFmtId="0" fontId="18" fillId="0" borderId="14" xfId="0" applyFont="1" applyBorder="1"/>
    <xf numFmtId="0" fontId="18" fillId="0" borderId="9" xfId="0" applyFont="1" applyBorder="1"/>
    <xf numFmtId="0" fontId="18" fillId="0" borderId="16" xfId="0" applyFont="1" applyBorder="1" applyAlignment="1">
      <alignment horizontal="center"/>
    </xf>
    <xf numFmtId="0" fontId="18" fillId="0" borderId="3" xfId="0" applyFont="1" applyBorder="1" applyAlignment="1">
      <alignment horizontal="center" vertical="top"/>
    </xf>
    <xf numFmtId="0" fontId="21" fillId="0" borderId="4" xfId="0" applyFont="1" applyBorder="1" applyAlignment="1">
      <alignment horizontal="center"/>
    </xf>
    <xf numFmtId="0" fontId="14" fillId="0" borderId="0" xfId="0" applyFont="1" applyAlignment="1">
      <alignment horizontal="center"/>
    </xf>
    <xf numFmtId="0" fontId="18" fillId="0" borderId="4" xfId="0" applyFont="1" applyBorder="1"/>
    <xf numFmtId="0" fontId="18" fillId="0" borderId="1" xfId="0" applyFont="1" applyBorder="1" applyAlignment="1">
      <alignment horizontal="center"/>
    </xf>
    <xf numFmtId="4" fontId="19" fillId="0" borderId="1" xfId="0" applyNumberFormat="1" applyFont="1" applyBorder="1" applyAlignment="1">
      <alignment horizontal="center"/>
    </xf>
    <xf numFmtId="0" fontId="18" fillId="0" borderId="4" xfId="0" applyFont="1" applyBorder="1" applyAlignment="1">
      <alignment horizontal="center"/>
    </xf>
    <xf numFmtId="0" fontId="19" fillId="0" borderId="1" xfId="0" applyFont="1" applyBorder="1" applyAlignment="1">
      <alignment horizontal="center"/>
    </xf>
    <xf numFmtId="0" fontId="19" fillId="0" borderId="14" xfId="0" applyFont="1" applyBorder="1" applyAlignment="1">
      <alignment horizontal="center"/>
    </xf>
    <xf numFmtId="4" fontId="19" fillId="0" borderId="14" xfId="0" applyNumberFormat="1" applyFont="1" applyBorder="1" applyAlignment="1">
      <alignment horizontal="center"/>
    </xf>
    <xf numFmtId="0" fontId="21" fillId="0" borderId="0" xfId="0" applyFont="1" applyAlignment="1">
      <alignment vertical="top"/>
    </xf>
    <xf numFmtId="0" fontId="18" fillId="0" borderId="14" xfId="0" applyFont="1" applyBorder="1" applyAlignment="1">
      <alignment horizontal="center"/>
    </xf>
    <xf numFmtId="0" fontId="18" fillId="0" borderId="2" xfId="0" applyFont="1" applyBorder="1"/>
    <xf numFmtId="0" fontId="18" fillId="0" borderId="2" xfId="0" applyFont="1" applyBorder="1" applyAlignment="1">
      <alignment vertical="top"/>
    </xf>
    <xf numFmtId="0" fontId="18" fillId="0" borderId="6" xfId="0" applyFont="1" applyBorder="1" applyAlignment="1">
      <alignment horizontal="center"/>
    </xf>
    <xf numFmtId="0" fontId="14" fillId="0" borderId="2" xfId="0" applyFont="1" applyBorder="1" applyAlignment="1">
      <alignment horizontal="center"/>
    </xf>
    <xf numFmtId="0" fontId="18" fillId="0" borderId="12" xfId="0" applyFont="1" applyBorder="1"/>
    <xf numFmtId="0" fontId="18" fillId="0" borderId="5" xfId="0" applyFont="1" applyBorder="1"/>
    <xf numFmtId="0" fontId="18" fillId="0" borderId="13" xfId="0" applyFont="1" applyBorder="1" applyAlignment="1">
      <alignment horizontal="center"/>
    </xf>
    <xf numFmtId="0" fontId="18" fillId="0" borderId="8" xfId="0" applyFont="1" applyBorder="1" applyAlignment="1">
      <alignment horizontal="center" vertical="top"/>
    </xf>
    <xf numFmtId="0" fontId="15" fillId="0" borderId="0" xfId="0" applyFont="1" applyAlignment="1">
      <alignment horizontal="center"/>
    </xf>
    <xf numFmtId="4" fontId="15" fillId="0" borderId="15" xfId="6" applyNumberFormat="1" applyFont="1" applyBorder="1" applyAlignment="1">
      <alignment horizontal="center"/>
    </xf>
    <xf numFmtId="0" fontId="15" fillId="0" borderId="15" xfId="5" applyFont="1" applyBorder="1"/>
    <xf numFmtId="0" fontId="19" fillId="0" borderId="0" xfId="0" applyFont="1" applyAlignment="1">
      <alignment horizontal="center"/>
    </xf>
    <xf numFmtId="0" fontId="19" fillId="0" borderId="10" xfId="0" applyFont="1" applyBorder="1" applyAlignment="1">
      <alignment horizontal="center"/>
    </xf>
    <xf numFmtId="0" fontId="19" fillId="0" borderId="12" xfId="0" applyFont="1" applyBorder="1" applyAlignment="1">
      <alignment horizontal="center"/>
    </xf>
    <xf numFmtId="2" fontId="15" fillId="0" borderId="2" xfId="5" applyNumberFormat="1" applyFont="1" applyBorder="1" applyAlignment="1">
      <alignment horizontal="center"/>
    </xf>
    <xf numFmtId="2" fontId="15" fillId="0" borderId="0" xfId="13" applyNumberFormat="1" applyFont="1" applyAlignment="1">
      <alignment horizontal="center"/>
    </xf>
    <xf numFmtId="0" fontId="19" fillId="0" borderId="8" xfId="0" applyFont="1" applyBorder="1" applyAlignment="1">
      <alignment horizontal="center"/>
    </xf>
    <xf numFmtId="0" fontId="19" fillId="0" borderId="17" xfId="0" applyFont="1" applyBorder="1" applyAlignment="1">
      <alignment horizontal="center"/>
    </xf>
    <xf numFmtId="0" fontId="8" fillId="0" borderId="0" xfId="5" applyFont="1" applyAlignment="1">
      <alignment horizontal="left" vertical="top" wrapText="1"/>
    </xf>
    <xf numFmtId="3" fontId="14" fillId="3" borderId="0" xfId="5" applyNumberFormat="1" applyFont="1" applyFill="1" applyAlignment="1">
      <alignment horizontal="center"/>
    </xf>
    <xf numFmtId="0" fontId="7" fillId="3" borderId="0" xfId="5" applyFont="1" applyFill="1" applyAlignment="1">
      <alignment horizontal="left" vertical="top" wrapText="1"/>
    </xf>
    <xf numFmtId="0" fontId="15" fillId="3" borderId="4" xfId="5" applyFont="1" applyFill="1" applyBorder="1" applyAlignment="1">
      <alignment horizontal="center"/>
    </xf>
    <xf numFmtId="0" fontId="15" fillId="3" borderId="14" xfId="5" applyFont="1" applyFill="1" applyBorder="1"/>
    <xf numFmtId="0" fontId="7" fillId="3" borderId="4" xfId="5" applyFont="1" applyFill="1" applyBorder="1" applyAlignment="1">
      <alignment horizontal="center"/>
    </xf>
    <xf numFmtId="0" fontId="14" fillId="3" borderId="0" xfId="5" applyFont="1" applyFill="1" applyAlignment="1">
      <alignment horizontal="left" vertical="top" wrapText="1"/>
    </xf>
    <xf numFmtId="0" fontId="7" fillId="0" borderId="2" xfId="5" applyFont="1" applyBorder="1"/>
    <xf numFmtId="0" fontId="7" fillId="0" borderId="0" xfId="5" applyFont="1"/>
    <xf numFmtId="0" fontId="9" fillId="0" borderId="8" xfId="5" applyFont="1" applyBorder="1"/>
    <xf numFmtId="0" fontId="9" fillId="0" borderId="0" xfId="5" applyFont="1"/>
    <xf numFmtId="0" fontId="7" fillId="0" borderId="5" xfId="5" applyFont="1" applyBorder="1" applyAlignment="1">
      <alignment horizontal="center" vertical="top"/>
    </xf>
    <xf numFmtId="0" fontId="9" fillId="0" borderId="2" xfId="5" applyFont="1" applyBorder="1"/>
    <xf numFmtId="0" fontId="7" fillId="0" borderId="0" xfId="5" applyFont="1" applyAlignment="1">
      <alignment horizontal="center" vertical="top"/>
    </xf>
    <xf numFmtId="0" fontId="9" fillId="0" borderId="0" xfId="5" applyFont="1" applyAlignment="1">
      <alignment horizontal="right"/>
    </xf>
    <xf numFmtId="4" fontId="9" fillId="0" borderId="15" xfId="6" applyNumberFormat="1" applyFont="1" applyBorder="1" applyAlignment="1">
      <alignment horizontal="center"/>
    </xf>
    <xf numFmtId="0" fontId="8" fillId="0" borderId="0" xfId="5" applyFont="1"/>
    <xf numFmtId="0" fontId="7" fillId="0" borderId="0" xfId="5" applyFont="1" applyAlignment="1">
      <alignment vertical="center" wrapText="1"/>
    </xf>
    <xf numFmtId="0" fontId="7" fillId="0" borderId="0" xfId="5" applyFont="1" applyAlignment="1">
      <alignment wrapText="1"/>
    </xf>
    <xf numFmtId="0" fontId="7" fillId="0" borderId="0" xfId="10" applyFont="1"/>
    <xf numFmtId="0" fontId="9" fillId="0" borderId="0" xfId="10" applyFont="1" applyAlignment="1">
      <alignment horizontal="center" vertical="center"/>
    </xf>
    <xf numFmtId="0" fontId="7" fillId="0" borderId="14" xfId="10" applyFont="1" applyBorder="1"/>
    <xf numFmtId="0" fontId="7" fillId="0" borderId="0" xfId="10" applyFont="1" applyAlignment="1">
      <alignment horizontal="center" vertical="center"/>
    </xf>
    <xf numFmtId="0" fontId="7" fillId="0" borderId="4" xfId="10" applyFont="1" applyBorder="1"/>
    <xf numFmtId="0" fontId="7" fillId="0" borderId="0" xfId="10" applyFont="1" applyAlignment="1">
      <alignment horizontal="center"/>
    </xf>
    <xf numFmtId="0" fontId="7" fillId="0" borderId="8" xfId="10" applyFont="1" applyBorder="1" applyAlignment="1">
      <alignment horizontal="center"/>
    </xf>
    <xf numFmtId="0" fontId="9" fillId="0" borderId="0" xfId="14" applyFont="1"/>
    <xf numFmtId="0" fontId="7" fillId="0" borderId="2" xfId="14" applyFont="1" applyBorder="1"/>
    <xf numFmtId="0" fontId="7" fillId="0" borderId="2" xfId="14" applyFont="1" applyBorder="1" applyAlignment="1">
      <alignment horizontal="center"/>
    </xf>
    <xf numFmtId="0" fontId="9" fillId="0" borderId="2" xfId="14" applyFont="1" applyBorder="1" applyAlignment="1">
      <alignment horizontal="left"/>
    </xf>
    <xf numFmtId="0" fontId="7" fillId="0" borderId="2" xfId="14" applyFont="1" applyBorder="1" applyAlignment="1">
      <alignment horizontal="center" vertical="center"/>
    </xf>
    <xf numFmtId="0" fontId="7" fillId="0" borderId="0" xfId="14" applyFont="1"/>
    <xf numFmtId="0" fontId="9" fillId="0" borderId="8" xfId="14" applyFont="1" applyBorder="1"/>
    <xf numFmtId="0" fontId="9" fillId="0" borderId="9" xfId="14" applyFont="1" applyBorder="1" applyAlignment="1">
      <alignment horizontal="center"/>
    </xf>
    <xf numFmtId="0" fontId="9" fillId="0" borderId="8" xfId="14" applyFont="1" applyBorder="1" applyAlignment="1">
      <alignment horizontal="center"/>
    </xf>
    <xf numFmtId="0" fontId="9" fillId="0" borderId="10" xfId="14" applyFont="1" applyBorder="1"/>
    <xf numFmtId="4" fontId="9" fillId="0" borderId="1" xfId="14" applyNumberFormat="1" applyFont="1" applyBorder="1" applyAlignment="1">
      <alignment horizontal="center" vertical="center"/>
    </xf>
    <xf numFmtId="0" fontId="18" fillId="0" borderId="3" xfId="13" applyFont="1" applyBorder="1" applyAlignment="1">
      <alignment horizontal="center" vertical="top"/>
    </xf>
    <xf numFmtId="0" fontId="18" fillId="0" borderId="0" xfId="13" applyFont="1"/>
    <xf numFmtId="0" fontId="7" fillId="0" borderId="0" xfId="14" applyFont="1" applyAlignment="1">
      <alignment horizontal="center"/>
    </xf>
    <xf numFmtId="0" fontId="18" fillId="0" borderId="0" xfId="13" applyFont="1" applyAlignment="1">
      <alignment horizontal="center" vertical="top"/>
    </xf>
    <xf numFmtId="0" fontId="18" fillId="0" borderId="7" xfId="13" applyFont="1" applyBorder="1" applyAlignment="1">
      <alignment horizontal="center" vertical="top"/>
    </xf>
    <xf numFmtId="0" fontId="19" fillId="0" borderId="8" xfId="13" applyFont="1" applyBorder="1"/>
    <xf numFmtId="0" fontId="18" fillId="0" borderId="5" xfId="13" applyFont="1" applyBorder="1" applyAlignment="1">
      <alignment horizontal="center" vertical="top"/>
    </xf>
    <xf numFmtId="0" fontId="19" fillId="0" borderId="2" xfId="13" applyFont="1" applyBorder="1"/>
    <xf numFmtId="0" fontId="9" fillId="0" borderId="0" xfId="13" applyFont="1" applyAlignment="1">
      <alignment horizontal="center" vertical="center"/>
    </xf>
    <xf numFmtId="0" fontId="18" fillId="0" borderId="2" xfId="13" applyFont="1" applyBorder="1"/>
    <xf numFmtId="0" fontId="18" fillId="0" borderId="8" xfId="13" applyFont="1" applyBorder="1" applyAlignment="1">
      <alignment horizontal="center" vertical="top"/>
    </xf>
    <xf numFmtId="0" fontId="9" fillId="0" borderId="9" xfId="14" applyFont="1" applyBorder="1" applyAlignment="1">
      <alignment horizontal="center" vertical="center"/>
    </xf>
    <xf numFmtId="0" fontId="8" fillId="0" borderId="0" xfId="6" applyFont="1"/>
    <xf numFmtId="0" fontId="26" fillId="0" borderId="1" xfId="14" applyFont="1" applyBorder="1" applyAlignment="1">
      <alignment horizontal="center"/>
    </xf>
    <xf numFmtId="0" fontId="26" fillId="0" borderId="20" xfId="14" applyFont="1" applyBorder="1"/>
    <xf numFmtId="0" fontId="26" fillId="0" borderId="0" xfId="14" applyFont="1"/>
    <xf numFmtId="0" fontId="26" fillId="0" borderId="0" xfId="14" applyFont="1" applyAlignment="1">
      <alignment horizontal="center"/>
    </xf>
    <xf numFmtId="0" fontId="26" fillId="0" borderId="1" xfId="14" applyFont="1" applyBorder="1" applyAlignment="1">
      <alignment horizontal="center" vertical="center"/>
    </xf>
    <xf numFmtId="4" fontId="26" fillId="0" borderId="20" xfId="14" applyNumberFormat="1" applyFont="1" applyBorder="1" applyAlignment="1">
      <alignment horizontal="center" vertical="center"/>
    </xf>
    <xf numFmtId="0" fontId="25" fillId="0" borderId="0" xfId="14" applyFont="1"/>
    <xf numFmtId="4" fontId="7" fillId="0" borderId="2" xfId="14" applyNumberFormat="1" applyFont="1" applyBorder="1" applyAlignment="1">
      <alignment horizontal="center" vertical="center"/>
    </xf>
    <xf numFmtId="0" fontId="7" fillId="0" borderId="7" xfId="14" applyFont="1" applyBorder="1" applyAlignment="1">
      <alignment horizontal="center"/>
    </xf>
    <xf numFmtId="0" fontId="9" fillId="0" borderId="11" xfId="14" applyFont="1" applyBorder="1" applyAlignment="1">
      <alignment horizontal="center"/>
    </xf>
    <xf numFmtId="0" fontId="22" fillId="0" borderId="5" xfId="14" applyFont="1" applyBorder="1" applyAlignment="1">
      <alignment horizontal="center"/>
    </xf>
    <xf numFmtId="0" fontId="22" fillId="0" borderId="2" xfId="14" applyFont="1" applyBorder="1"/>
    <xf numFmtId="0" fontId="22" fillId="0" borderId="6" xfId="14" applyFont="1" applyBorder="1" applyAlignment="1">
      <alignment horizontal="center"/>
    </xf>
    <xf numFmtId="0" fontId="22" fillId="0" borderId="2" xfId="14" applyFont="1" applyBorder="1" applyAlignment="1">
      <alignment horizontal="center"/>
    </xf>
    <xf numFmtId="0" fontId="22" fillId="0" borderId="12" xfId="14" applyFont="1" applyBorder="1"/>
    <xf numFmtId="0" fontId="22" fillId="0" borderId="12" xfId="14" applyFont="1" applyBorder="1" applyAlignment="1">
      <alignment horizontal="center" vertical="center"/>
    </xf>
    <xf numFmtId="4" fontId="22" fillId="0" borderId="13" xfId="14" applyNumberFormat="1" applyFont="1" applyBorder="1" applyAlignment="1">
      <alignment horizontal="center" vertical="center"/>
    </xf>
    <xf numFmtId="0" fontId="24" fillId="0" borderId="0" xfId="14" applyFont="1"/>
    <xf numFmtId="0" fontId="26" fillId="0" borderId="7" xfId="14" applyFont="1" applyBorder="1" applyAlignment="1">
      <alignment horizontal="center"/>
    </xf>
    <xf numFmtId="0" fontId="28" fillId="0" borderId="0" xfId="14" applyFont="1"/>
    <xf numFmtId="0" fontId="28" fillId="0" borderId="9" xfId="14" applyFont="1" applyBorder="1" applyAlignment="1">
      <alignment horizontal="center"/>
    </xf>
    <xf numFmtId="0" fontId="26" fillId="0" borderId="8" xfId="14" applyFont="1" applyBorder="1" applyAlignment="1">
      <alignment horizontal="center"/>
    </xf>
    <xf numFmtId="0" fontId="26" fillId="0" borderId="14" xfId="14" applyFont="1" applyBorder="1"/>
    <xf numFmtId="0" fontId="26" fillId="0" borderId="9" xfId="14" applyFont="1" applyBorder="1" applyAlignment="1">
      <alignment horizontal="center"/>
    </xf>
    <xf numFmtId="0" fontId="26" fillId="0" borderId="8" xfId="14" applyFont="1" applyBorder="1" applyAlignment="1">
      <alignment horizontal="center" vertical="center"/>
    </xf>
    <xf numFmtId="4" fontId="26" fillId="0" borderId="16" xfId="14" applyNumberFormat="1" applyFont="1" applyBorder="1" applyAlignment="1">
      <alignment horizontal="center" vertical="center"/>
    </xf>
    <xf numFmtId="0" fontId="26" fillId="0" borderId="3" xfId="14" applyFont="1" applyBorder="1" applyAlignment="1">
      <alignment horizontal="center"/>
    </xf>
    <xf numFmtId="0" fontId="30" fillId="0" borderId="0" xfId="14" applyFont="1"/>
    <xf numFmtId="0" fontId="30" fillId="0" borderId="4" xfId="14" applyFont="1" applyBorder="1" applyAlignment="1">
      <alignment horizontal="center"/>
    </xf>
    <xf numFmtId="0" fontId="26" fillId="0" borderId="4" xfId="14" applyFont="1" applyBorder="1" applyAlignment="1">
      <alignment horizontal="center"/>
    </xf>
    <xf numFmtId="0" fontId="26" fillId="0" borderId="0" xfId="14" applyFont="1" applyAlignment="1">
      <alignment horizontal="center" vertical="center"/>
    </xf>
    <xf numFmtId="4" fontId="26" fillId="0" borderId="1" xfId="14" applyNumberFormat="1" applyFont="1" applyBorder="1" applyAlignment="1">
      <alignment horizontal="center" vertical="center"/>
    </xf>
    <xf numFmtId="0" fontId="31" fillId="0" borderId="0" xfId="14" applyFont="1"/>
    <xf numFmtId="0" fontId="31" fillId="0" borderId="4" xfId="14" applyFont="1" applyBorder="1"/>
    <xf numFmtId="0" fontId="32" fillId="0" borderId="0" xfId="14" applyFont="1"/>
    <xf numFmtId="0" fontId="26" fillId="0" borderId="3" xfId="14" applyFont="1" applyBorder="1" applyAlignment="1">
      <alignment horizontal="center" vertical="top"/>
    </xf>
    <xf numFmtId="0" fontId="31" fillId="0" borderId="0" xfId="14" applyFont="1" applyAlignment="1">
      <alignment vertical="center" wrapText="1"/>
    </xf>
    <xf numFmtId="0" fontId="31" fillId="0" borderId="4" xfId="14" applyFont="1" applyBorder="1" applyAlignment="1">
      <alignment horizontal="center"/>
    </xf>
    <xf numFmtId="0" fontId="26" fillId="0" borderId="14" xfId="14" applyFont="1" applyBorder="1" applyAlignment="1">
      <alignment horizontal="center" vertical="center"/>
    </xf>
    <xf numFmtId="4" fontId="26" fillId="0" borderId="14" xfId="14" applyNumberFormat="1" applyFont="1" applyBorder="1" applyAlignment="1">
      <alignment horizontal="center" vertical="center"/>
    </xf>
    <xf numFmtId="0" fontId="31" fillId="0" borderId="0" xfId="14" applyFont="1" applyAlignment="1">
      <alignment horizontal="left"/>
    </xf>
    <xf numFmtId="0" fontId="33" fillId="0" borderId="0" xfId="14" applyFont="1"/>
    <xf numFmtId="0" fontId="33" fillId="0" borderId="4" xfId="14" applyFont="1" applyBorder="1" applyAlignment="1">
      <alignment horizontal="center"/>
    </xf>
    <xf numFmtId="0" fontId="33" fillId="0" borderId="0" xfId="14" applyFont="1" applyAlignment="1">
      <alignment horizontal="left"/>
    </xf>
    <xf numFmtId="0" fontId="33" fillId="0" borderId="4" xfId="14" applyFont="1" applyBorder="1"/>
    <xf numFmtId="0" fontId="26" fillId="0" borderId="5" xfId="14" applyFont="1" applyBorder="1" applyAlignment="1">
      <alignment horizontal="center"/>
    </xf>
    <xf numFmtId="0" fontId="26" fillId="0" borderId="2" xfId="14" applyFont="1" applyBorder="1"/>
    <xf numFmtId="0" fontId="26" fillId="0" borderId="6" xfId="14" applyFont="1" applyBorder="1" applyAlignment="1">
      <alignment horizontal="center"/>
    </xf>
    <xf numFmtId="0" fontId="26" fillId="0" borderId="2" xfId="14" applyFont="1" applyBorder="1" applyAlignment="1">
      <alignment horizontal="center"/>
    </xf>
    <xf numFmtId="0" fontId="26" fillId="0" borderId="12" xfId="14" applyFont="1" applyBorder="1"/>
    <xf numFmtId="0" fontId="26" fillId="0" borderId="12" xfId="14" applyFont="1" applyBorder="1" applyAlignment="1">
      <alignment horizontal="center" vertical="center"/>
    </xf>
    <xf numFmtId="4" fontId="26" fillId="0" borderId="13" xfId="14" applyNumberFormat="1" applyFont="1" applyBorder="1" applyAlignment="1">
      <alignment horizontal="center" vertical="center"/>
    </xf>
    <xf numFmtId="0" fontId="7" fillId="0" borderId="8" xfId="14" applyFont="1" applyBorder="1" applyAlignment="1">
      <alignment horizontal="center"/>
    </xf>
    <xf numFmtId="0" fontId="26" fillId="0" borderId="8" xfId="14" applyFont="1" applyBorder="1"/>
    <xf numFmtId="0" fontId="28" fillId="0" borderId="8" xfId="14" applyFont="1" applyBorder="1"/>
    <xf numFmtId="0" fontId="28" fillId="0" borderId="8" xfId="14" applyFont="1" applyBorder="1" applyAlignment="1">
      <alignment horizontal="center"/>
    </xf>
    <xf numFmtId="0" fontId="26" fillId="0" borderId="9" xfId="14" applyFont="1" applyBorder="1"/>
    <xf numFmtId="0" fontId="26" fillId="0" borderId="18" xfId="14" applyFont="1" applyBorder="1" applyAlignment="1">
      <alignment horizontal="center" vertical="center"/>
    </xf>
    <xf numFmtId="4" fontId="26" fillId="0" borderId="10" xfId="14" applyNumberFormat="1" applyFont="1" applyBorder="1" applyAlignment="1">
      <alignment horizontal="center" vertical="center"/>
    </xf>
    <xf numFmtId="0" fontId="22" fillId="0" borderId="0" xfId="14" applyFont="1" applyAlignment="1">
      <alignment horizontal="left"/>
    </xf>
    <xf numFmtId="0" fontId="26" fillId="0" borderId="4" xfId="14" applyFont="1" applyBorder="1"/>
    <xf numFmtId="0" fontId="26" fillId="0" borderId="15" xfId="14" applyFont="1" applyBorder="1" applyAlignment="1">
      <alignment horizontal="center" vertical="center"/>
    </xf>
    <xf numFmtId="4" fontId="26" fillId="0" borderId="15" xfId="14" applyNumberFormat="1" applyFont="1" applyBorder="1" applyAlignment="1">
      <alignment horizontal="center" vertical="center"/>
    </xf>
    <xf numFmtId="4" fontId="26" fillId="0" borderId="0" xfId="14" applyNumberFormat="1" applyFont="1" applyAlignment="1">
      <alignment horizontal="center"/>
    </xf>
    <xf numFmtId="0" fontId="26" fillId="0" borderId="2" xfId="14" applyFont="1" applyBorder="1" applyAlignment="1">
      <alignment horizontal="center" vertical="center"/>
    </xf>
    <xf numFmtId="4" fontId="26" fillId="0" borderId="2" xfId="14" applyNumberFormat="1" applyFont="1" applyBorder="1" applyAlignment="1">
      <alignment horizontal="center" vertical="center"/>
    </xf>
    <xf numFmtId="0" fontId="22" fillId="0" borderId="3" xfId="14" applyFont="1" applyBorder="1" applyAlignment="1">
      <alignment horizontal="center"/>
    </xf>
    <xf numFmtId="0" fontId="22" fillId="0" borderId="0" xfId="14" applyFont="1"/>
    <xf numFmtId="0" fontId="22" fillId="0" borderId="9" xfId="14" applyFont="1" applyBorder="1" applyAlignment="1">
      <alignment horizontal="center"/>
    </xf>
    <xf numFmtId="0" fontId="22" fillId="0" borderId="0" xfId="14" applyFont="1" applyAlignment="1">
      <alignment horizontal="center"/>
    </xf>
    <xf numFmtId="0" fontId="22" fillId="0" borderId="10" xfId="14" applyFont="1" applyBorder="1"/>
    <xf numFmtId="0" fontId="22" fillId="0" borderId="4" xfId="14" applyFont="1" applyBorder="1" applyAlignment="1">
      <alignment horizontal="center"/>
    </xf>
    <xf numFmtId="0" fontId="22" fillId="0" borderId="10" xfId="14" applyFont="1" applyBorder="1" applyAlignment="1">
      <alignment horizontal="center" vertical="center"/>
    </xf>
    <xf numFmtId="4" fontId="22" fillId="0" borderId="16" xfId="14" applyNumberFormat="1" applyFont="1" applyBorder="1" applyAlignment="1">
      <alignment horizontal="center" vertical="center"/>
    </xf>
    <xf numFmtId="0" fontId="30" fillId="0" borderId="0" xfId="14" applyFont="1" applyAlignment="1">
      <alignment horizontal="left"/>
    </xf>
    <xf numFmtId="0" fontId="28" fillId="0" borderId="4" xfId="14" applyFont="1" applyBorder="1" applyAlignment="1">
      <alignment horizontal="left"/>
    </xf>
    <xf numFmtId="0" fontId="28" fillId="0" borderId="4" xfId="14" applyFont="1" applyBorder="1" applyAlignment="1">
      <alignment horizontal="center"/>
    </xf>
    <xf numFmtId="0" fontId="31" fillId="0" borderId="21" xfId="14" applyFont="1" applyBorder="1"/>
    <xf numFmtId="0" fontId="26" fillId="0" borderId="21" xfId="14" applyFont="1" applyBorder="1" applyAlignment="1">
      <alignment horizontal="left"/>
    </xf>
    <xf numFmtId="0" fontId="26" fillId="0" borderId="0" xfId="14" applyFont="1" applyAlignment="1">
      <alignment horizontal="left"/>
    </xf>
    <xf numFmtId="0" fontId="26" fillId="0" borderId="21" xfId="14" applyFont="1" applyBorder="1" applyAlignment="1">
      <alignment horizontal="center"/>
    </xf>
    <xf numFmtId="0" fontId="26" fillId="0" borderId="21" xfId="14" applyFont="1" applyBorder="1"/>
    <xf numFmtId="0" fontId="26" fillId="0" borderId="22" xfId="14" applyFont="1" applyBorder="1"/>
    <xf numFmtId="0" fontId="26" fillId="0" borderId="2" xfId="14" applyFont="1" applyBorder="1" applyAlignment="1">
      <alignment horizontal="left"/>
    </xf>
    <xf numFmtId="0" fontId="34" fillId="0" borderId="0" xfId="14" applyFont="1"/>
    <xf numFmtId="0" fontId="31" fillId="2" borderId="0" xfId="14" applyFont="1" applyFill="1" applyAlignment="1">
      <alignment horizontal="center"/>
    </xf>
    <xf numFmtId="0" fontId="31" fillId="2" borderId="4" xfId="14" applyFont="1" applyFill="1" applyBorder="1" applyAlignment="1">
      <alignment horizontal="center"/>
    </xf>
    <xf numFmtId="0" fontId="26" fillId="2" borderId="0" xfId="14" applyFont="1" applyFill="1" applyAlignment="1">
      <alignment horizontal="center"/>
    </xf>
    <xf numFmtId="0" fontId="26" fillId="2" borderId="14" xfId="14" applyFont="1" applyFill="1" applyBorder="1"/>
    <xf numFmtId="0" fontId="26" fillId="2" borderId="4" xfId="14" applyFont="1" applyFill="1" applyBorder="1" applyAlignment="1">
      <alignment horizontal="center"/>
    </xf>
    <xf numFmtId="9" fontId="26" fillId="2" borderId="14" xfId="14" applyNumberFormat="1" applyFont="1" applyFill="1" applyBorder="1" applyAlignment="1">
      <alignment horizontal="center" vertical="center"/>
    </xf>
    <xf numFmtId="4" fontId="26" fillId="2" borderId="14" xfId="14" applyNumberFormat="1" applyFont="1" applyFill="1" applyBorder="1" applyAlignment="1">
      <alignment horizontal="center" vertical="center"/>
    </xf>
    <xf numFmtId="0" fontId="31" fillId="0" borderId="2" xfId="14" applyFont="1" applyBorder="1"/>
    <xf numFmtId="0" fontId="31" fillId="0" borderId="6" xfId="14" applyFont="1" applyBorder="1" applyAlignment="1">
      <alignment horizontal="center"/>
    </xf>
    <xf numFmtId="4" fontId="26" fillId="0" borderId="0" xfId="14" applyNumberFormat="1" applyFont="1" applyAlignment="1">
      <alignment horizontal="center" vertical="center"/>
    </xf>
    <xf numFmtId="0" fontId="28" fillId="0" borderId="0" xfId="14" applyFont="1" applyAlignment="1">
      <alignment horizontal="center"/>
    </xf>
    <xf numFmtId="0" fontId="26" fillId="0" borderId="23" xfId="14" applyFont="1" applyBorder="1" applyAlignment="1">
      <alignment horizontal="center"/>
    </xf>
    <xf numFmtId="0" fontId="18" fillId="0" borderId="1" xfId="24" applyFont="1" applyBorder="1" applyAlignment="1">
      <alignment horizontal="center"/>
    </xf>
    <xf numFmtId="0" fontId="26" fillId="0" borderId="20" xfId="14" applyFont="1" applyBorder="1" applyAlignment="1">
      <alignment horizontal="center"/>
    </xf>
    <xf numFmtId="0" fontId="29" fillId="0" borderId="0" xfId="6" applyFont="1"/>
    <xf numFmtId="0" fontId="7" fillId="0" borderId="0" xfId="5" applyFont="1" applyAlignment="1">
      <alignment vertical="center"/>
    </xf>
    <xf numFmtId="0" fontId="9" fillId="0" borderId="0" xfId="5" applyFont="1" applyAlignment="1">
      <alignment vertical="center"/>
    </xf>
    <xf numFmtId="0" fontId="19" fillId="0" borderId="4" xfId="13" applyFont="1" applyBorder="1" applyAlignment="1">
      <alignment horizontal="center" vertical="center"/>
    </xf>
    <xf numFmtId="0" fontId="7" fillId="0" borderId="4" xfId="5" applyFont="1" applyBorder="1"/>
    <xf numFmtId="0" fontId="29" fillId="0" borderId="0" xfId="6" applyFont="1" applyAlignment="1">
      <alignment wrapText="1"/>
    </xf>
    <xf numFmtId="0" fontId="8" fillId="0" borderId="0" xfId="6" applyFont="1" applyAlignment="1">
      <alignment vertical="center"/>
    </xf>
    <xf numFmtId="0" fontId="8" fillId="0" borderId="0" xfId="6" applyFont="1" applyAlignment="1">
      <alignment vertical="center" wrapText="1"/>
    </xf>
    <xf numFmtId="0" fontId="7" fillId="0" borderId="0" xfId="6" applyFont="1" applyAlignment="1">
      <alignment vertical="center" wrapText="1"/>
    </xf>
    <xf numFmtId="0" fontId="7" fillId="0" borderId="2" xfId="5" applyFont="1" applyBorder="1" applyAlignment="1">
      <alignment horizontal="center" vertical="top"/>
    </xf>
    <xf numFmtId="0" fontId="7" fillId="0" borderId="7" xfId="5" applyFont="1" applyBorder="1" applyAlignment="1">
      <alignment horizontal="center" vertical="top"/>
    </xf>
    <xf numFmtId="0" fontId="7" fillId="0" borderId="0" xfId="13" applyFont="1" applyAlignment="1">
      <alignment vertical="center" wrapText="1"/>
    </xf>
    <xf numFmtId="0" fontId="7" fillId="0" borderId="0" xfId="13" applyFont="1"/>
    <xf numFmtId="0" fontId="8" fillId="0" borderId="0" xfId="13" applyFont="1" applyAlignment="1">
      <alignment vertical="center"/>
    </xf>
    <xf numFmtId="0" fontId="7" fillId="0" borderId="2" xfId="13" applyFont="1" applyBorder="1"/>
    <xf numFmtId="4" fontId="9" fillId="0" borderId="0" xfId="5" applyNumberFormat="1" applyFont="1" applyAlignment="1">
      <alignment horizontal="center"/>
    </xf>
    <xf numFmtId="0" fontId="9" fillId="0" borderId="14" xfId="5" applyFont="1" applyBorder="1" applyAlignment="1">
      <alignment horizontal="center"/>
    </xf>
    <xf numFmtId="4" fontId="9" fillId="0" borderId="14" xfId="5" applyNumberFormat="1" applyFont="1" applyBorder="1" applyAlignment="1">
      <alignment horizontal="center"/>
    </xf>
    <xf numFmtId="4" fontId="9" fillId="0" borderId="15" xfId="14" applyNumberFormat="1" applyFont="1" applyBorder="1" applyAlignment="1">
      <alignment horizontal="center" vertical="center"/>
    </xf>
    <xf numFmtId="4" fontId="7" fillId="0" borderId="2" xfId="5" applyNumberFormat="1" applyFont="1" applyBorder="1" applyAlignment="1" applyProtection="1">
      <alignment horizontal="center"/>
      <protection locked="0"/>
    </xf>
    <xf numFmtId="4" fontId="9" fillId="0" borderId="18" xfId="5" applyNumberFormat="1" applyFont="1" applyBorder="1" applyAlignment="1" applyProtection="1">
      <alignment horizontal="center"/>
      <protection locked="0"/>
    </xf>
    <xf numFmtId="4" fontId="9" fillId="0" borderId="19" xfId="5" applyNumberFormat="1" applyFont="1" applyBorder="1" applyAlignment="1" applyProtection="1">
      <alignment horizontal="center"/>
      <protection locked="0"/>
    </xf>
    <xf numFmtId="4" fontId="9" fillId="0" borderId="11" xfId="5" applyNumberFormat="1" applyFont="1" applyBorder="1" applyAlignment="1" applyProtection="1">
      <alignment horizontal="center"/>
      <protection locked="0"/>
    </xf>
    <xf numFmtId="0" fontId="7" fillId="0" borderId="0" xfId="13" applyFont="1" applyAlignment="1">
      <alignment horizontal="justify" vertical="center"/>
    </xf>
    <xf numFmtId="0" fontId="18" fillId="0" borderId="0" xfId="13" applyFont="1" applyAlignment="1">
      <alignment horizontal="justify" vertical="center"/>
    </xf>
    <xf numFmtId="4" fontId="7" fillId="0" borderId="11" xfId="5" applyNumberFormat="1" applyFont="1" applyBorder="1" applyAlignment="1" applyProtection="1">
      <alignment horizontal="center"/>
      <protection locked="0"/>
    </xf>
    <xf numFmtId="0" fontId="7" fillId="0" borderId="0" xfId="13" applyFont="1" applyAlignment="1">
      <alignment vertical="center"/>
    </xf>
    <xf numFmtId="0" fontId="18" fillId="0" borderId="0" xfId="13" applyFont="1" applyAlignment="1">
      <alignment vertical="center"/>
    </xf>
    <xf numFmtId="0" fontId="8" fillId="0" borderId="0" xfId="1" applyFont="1" applyAlignment="1">
      <alignment horizontal="left" vertical="center"/>
    </xf>
    <xf numFmtId="0" fontId="7" fillId="0" borderId="0" xfId="1" applyFont="1" applyAlignment="1">
      <alignment horizontal="left" vertical="center"/>
    </xf>
    <xf numFmtId="4" fontId="7" fillId="0" borderId="19" xfId="5" applyNumberFormat="1" applyFont="1" applyBorder="1" applyAlignment="1" applyProtection="1">
      <alignment horizontal="center"/>
      <protection locked="0"/>
    </xf>
    <xf numFmtId="4" fontId="7" fillId="0" borderId="18" xfId="5" applyNumberFormat="1" applyFont="1" applyBorder="1" applyAlignment="1" applyProtection="1">
      <alignment horizontal="center"/>
      <protection locked="0"/>
    </xf>
    <xf numFmtId="4" fontId="7" fillId="0" borderId="17" xfId="5" applyNumberFormat="1" applyFont="1" applyBorder="1" applyAlignment="1" applyProtection="1">
      <alignment horizontal="center"/>
      <protection locked="0"/>
    </xf>
    <xf numFmtId="4" fontId="7" fillId="0" borderId="0" xfId="5" applyNumberFormat="1" applyFont="1" applyAlignment="1" applyProtection="1">
      <alignment horizontal="center"/>
      <protection locked="0"/>
    </xf>
    <xf numFmtId="0" fontId="9" fillId="0" borderId="8" xfId="13" applyFont="1" applyBorder="1"/>
    <xf numFmtId="0" fontId="9" fillId="0" borderId="2" xfId="13" applyFont="1" applyBorder="1"/>
    <xf numFmtId="0" fontId="8" fillId="0" borderId="0" xfId="13" applyFont="1" applyAlignment="1">
      <alignment horizontal="center"/>
    </xf>
    <xf numFmtId="0" fontId="21" fillId="0" borderId="0" xfId="13" applyFont="1" applyAlignment="1">
      <alignment horizontal="center"/>
    </xf>
    <xf numFmtId="0" fontId="8" fillId="0" borderId="0" xfId="13" applyFont="1" applyAlignment="1">
      <alignment horizontal="justify" vertical="center"/>
    </xf>
    <xf numFmtId="0" fontId="21" fillId="0" borderId="0" xfId="13" applyFont="1" applyAlignment="1">
      <alignment horizontal="justify" vertical="center"/>
    </xf>
    <xf numFmtId="0" fontId="9" fillId="0" borderId="0" xfId="13" applyFont="1" applyAlignment="1">
      <alignment horizontal="justify" vertical="center"/>
    </xf>
    <xf numFmtId="0" fontId="19" fillId="0" borderId="0" xfId="13" applyFont="1" applyAlignment="1">
      <alignment horizontal="justify" vertical="center"/>
    </xf>
    <xf numFmtId="4" fontId="9" fillId="0" borderId="0" xfId="6" applyNumberFormat="1" applyFont="1" applyAlignment="1" applyProtection="1">
      <alignment horizontal="center"/>
      <protection locked="0"/>
    </xf>
    <xf numFmtId="0" fontId="39" fillId="0" borderId="0" xfId="13" applyFont="1" applyAlignment="1">
      <alignment horizontal="justify" vertical="center"/>
    </xf>
    <xf numFmtId="0" fontId="7" fillId="0" borderId="0" xfId="13" applyFont="1" applyAlignment="1">
      <alignment horizontal="left" vertical="center" wrapText="1"/>
    </xf>
    <xf numFmtId="0" fontId="18" fillId="0" borderId="0" xfId="13" applyFont="1" applyAlignment="1">
      <alignment wrapText="1"/>
    </xf>
    <xf numFmtId="0" fontId="7" fillId="0" borderId="0" xfId="13" applyFont="1" applyAlignment="1">
      <alignment wrapText="1"/>
    </xf>
    <xf numFmtId="4" fontId="7" fillId="0" borderId="24" xfId="5" applyNumberFormat="1" applyFont="1" applyBorder="1" applyAlignment="1" applyProtection="1">
      <alignment horizontal="center"/>
      <protection locked="0"/>
    </xf>
    <xf numFmtId="0" fontId="7" fillId="0" borderId="0" xfId="5" applyFont="1" applyAlignment="1">
      <alignment horizontal="justify" vertical="center"/>
    </xf>
    <xf numFmtId="0" fontId="7" fillId="3" borderId="0" xfId="5" applyFont="1" applyFill="1" applyAlignment="1">
      <alignment horizontal="justify" vertical="center"/>
    </xf>
    <xf numFmtId="0" fontId="21" fillId="0" borderId="0" xfId="13" applyFont="1" applyAlignment="1">
      <alignment vertical="center"/>
    </xf>
    <xf numFmtId="0" fontId="19" fillId="0" borderId="0" xfId="13" applyFont="1" applyAlignment="1">
      <alignment vertical="center"/>
    </xf>
    <xf numFmtId="0" fontId="18" fillId="0" borderId="0" xfId="13" applyFont="1" applyAlignment="1">
      <alignment vertical="center" wrapText="1"/>
    </xf>
    <xf numFmtId="0" fontId="9" fillId="0" borderId="0" xfId="13" applyFont="1" applyAlignment="1">
      <alignment vertical="center"/>
    </xf>
    <xf numFmtId="0" fontId="23" fillId="0" borderId="0" xfId="13" applyFont="1" applyAlignment="1">
      <alignment horizontal="justify" vertical="center"/>
    </xf>
    <xf numFmtId="0" fontId="40" fillId="0" borderId="0" xfId="13" applyFont="1" applyAlignment="1">
      <alignment horizontal="justify" vertical="center"/>
    </xf>
    <xf numFmtId="0" fontId="41" fillId="0" borderId="0" xfId="13" applyFont="1" applyAlignment="1">
      <alignment horizontal="justify" vertical="center"/>
    </xf>
    <xf numFmtId="0" fontId="27" fillId="0" borderId="0" xfId="13" applyFont="1" applyAlignment="1">
      <alignment horizontal="justify" vertical="center"/>
    </xf>
    <xf numFmtId="0" fontId="9" fillId="0" borderId="9" xfId="5" applyFont="1" applyBorder="1"/>
    <xf numFmtId="4" fontId="9" fillId="0" borderId="14" xfId="5" applyNumberFormat="1" applyFont="1" applyBorder="1" applyAlignment="1" applyProtection="1">
      <alignment horizontal="center"/>
      <protection locked="0"/>
    </xf>
    <xf numFmtId="0" fontId="9" fillId="0" borderId="6" xfId="5" applyFont="1" applyBorder="1"/>
    <xf numFmtId="4" fontId="9" fillId="0" borderId="12" xfId="5" applyNumberFormat="1" applyFont="1" applyBorder="1" applyAlignment="1" applyProtection="1">
      <alignment horizontal="center"/>
      <protection locked="0"/>
    </xf>
    <xf numFmtId="0" fontId="9" fillId="0" borderId="4" xfId="5" applyFont="1" applyBorder="1" applyAlignment="1">
      <alignment vertical="center"/>
    </xf>
    <xf numFmtId="0" fontId="8" fillId="0" borderId="0" xfId="13" applyFont="1" applyAlignment="1">
      <alignment horizontal="center" vertical="center"/>
    </xf>
    <xf numFmtId="0" fontId="21" fillId="0" borderId="4" xfId="13" applyFont="1" applyBorder="1" applyAlignment="1">
      <alignment horizontal="center" vertical="center"/>
    </xf>
    <xf numFmtId="4" fontId="7" fillId="0" borderId="14" xfId="5" applyNumberFormat="1" applyFont="1" applyBorder="1" applyAlignment="1" applyProtection="1">
      <alignment horizontal="center"/>
      <protection locked="0"/>
    </xf>
    <xf numFmtId="0" fontId="17" fillId="0" borderId="0" xfId="13" applyFont="1" applyAlignment="1">
      <alignment vertical="center"/>
    </xf>
    <xf numFmtId="0" fontId="17" fillId="0" borderId="4" xfId="13" applyFont="1" applyBorder="1" applyAlignment="1">
      <alignment vertical="center"/>
    </xf>
    <xf numFmtId="0" fontId="7" fillId="0" borderId="6" xfId="5" applyFont="1" applyBorder="1"/>
    <xf numFmtId="4" fontId="7" fillId="0" borderId="12" xfId="5" applyNumberFormat="1" applyFont="1" applyBorder="1" applyAlignment="1" applyProtection="1">
      <alignment horizontal="center"/>
      <protection locked="0"/>
    </xf>
    <xf numFmtId="0" fontId="8" fillId="0" borderId="4" xfId="5" applyFont="1" applyBorder="1"/>
    <xf numFmtId="0" fontId="9" fillId="0" borderId="0" xfId="13" applyFont="1" applyAlignment="1">
      <alignment horizontal="right" vertical="center"/>
    </xf>
    <xf numFmtId="4" fontId="7" fillId="0" borderId="15" xfId="5" applyNumberFormat="1" applyFont="1" applyBorder="1" applyAlignment="1" applyProtection="1">
      <alignment horizontal="center"/>
      <protection locked="0"/>
    </xf>
    <xf numFmtId="0" fontId="20" fillId="0" borderId="0" xfId="13" applyFont="1" applyAlignment="1">
      <alignment horizontal="justify" vertical="center"/>
    </xf>
    <xf numFmtId="4" fontId="7" fillId="0" borderId="11" xfId="6" applyNumberFormat="1" applyFont="1" applyBorder="1" applyAlignment="1" applyProtection="1">
      <alignment horizontal="center"/>
      <protection locked="0"/>
    </xf>
    <xf numFmtId="4" fontId="7" fillId="0" borderId="14" xfId="6" applyNumberFormat="1" applyFont="1" applyBorder="1" applyAlignment="1" applyProtection="1">
      <alignment horizontal="center"/>
      <protection locked="0"/>
    </xf>
    <xf numFmtId="0" fontId="9" fillId="0" borderId="0" xfId="13" applyFont="1" applyAlignment="1">
      <alignment vertical="center" wrapText="1"/>
    </xf>
    <xf numFmtId="4" fontId="7" fillId="0" borderId="0" xfId="13" applyNumberFormat="1" applyFont="1" applyAlignment="1" applyProtection="1">
      <alignment horizontal="center"/>
      <protection locked="0"/>
    </xf>
    <xf numFmtId="4" fontId="9" fillId="0" borderId="18" xfId="13" applyNumberFormat="1" applyFont="1" applyBorder="1" applyAlignment="1" applyProtection="1">
      <alignment horizontal="center"/>
      <protection locked="0"/>
    </xf>
    <xf numFmtId="4" fontId="9" fillId="0" borderId="19" xfId="13" applyNumberFormat="1" applyFont="1" applyBorder="1" applyAlignment="1" applyProtection="1">
      <alignment horizontal="center"/>
      <protection locked="0"/>
    </xf>
    <xf numFmtId="4" fontId="7" fillId="0" borderId="18" xfId="13" applyNumberFormat="1" applyFont="1" applyBorder="1" applyAlignment="1" applyProtection="1">
      <alignment horizontal="center"/>
      <protection locked="0"/>
    </xf>
    <xf numFmtId="4" fontId="7" fillId="0" borderId="11" xfId="13" applyNumberFormat="1" applyFont="1" applyBorder="1" applyAlignment="1" applyProtection="1">
      <alignment horizontal="center"/>
      <protection locked="0"/>
    </xf>
    <xf numFmtId="4" fontId="9" fillId="0" borderId="11" xfId="13" applyNumberFormat="1" applyFont="1" applyBorder="1" applyAlignment="1" applyProtection="1">
      <alignment horizontal="center"/>
      <protection locked="0"/>
    </xf>
    <xf numFmtId="4" fontId="7" fillId="0" borderId="19" xfId="13" applyNumberFormat="1" applyFont="1" applyBorder="1" applyAlignment="1" applyProtection="1">
      <alignment horizontal="center"/>
      <protection locked="0"/>
    </xf>
    <xf numFmtId="0" fontId="43" fillId="0" borderId="28" xfId="5" applyFont="1" applyBorder="1" applyAlignment="1">
      <alignment horizontal="center" vertical="top"/>
    </xf>
    <xf numFmtId="0" fontId="43" fillId="0" borderId="29" xfId="5" applyFont="1" applyBorder="1"/>
    <xf numFmtId="0" fontId="43" fillId="0" borderId="29" xfId="5" applyFont="1" applyBorder="1" applyAlignment="1">
      <alignment vertical="center"/>
    </xf>
    <xf numFmtId="0" fontId="44" fillId="0" borderId="26" xfId="5" applyFont="1" applyBorder="1" applyAlignment="1">
      <alignment horizontal="left" vertical="center"/>
    </xf>
    <xf numFmtId="0" fontId="43" fillId="0" borderId="26" xfId="5" applyFont="1" applyBorder="1" applyAlignment="1">
      <alignment horizontal="center" vertical="center"/>
    </xf>
    <xf numFmtId="0" fontId="43" fillId="0" borderId="30" xfId="5" applyFont="1" applyBorder="1" applyAlignment="1">
      <alignment horizontal="center" vertical="top"/>
    </xf>
    <xf numFmtId="0" fontId="44" fillId="0" borderId="8" xfId="5" applyFont="1" applyBorder="1"/>
    <xf numFmtId="0" fontId="44" fillId="0" borderId="8" xfId="5" applyFont="1" applyBorder="1" applyAlignment="1">
      <alignment vertical="center"/>
    </xf>
    <xf numFmtId="0" fontId="44" fillId="0" borderId="34" xfId="5" applyFont="1" applyBorder="1" applyAlignment="1">
      <alignment horizontal="center" vertical="center"/>
    </xf>
    <xf numFmtId="0" fontId="43" fillId="0" borderId="27" xfId="5" applyFont="1" applyBorder="1" applyAlignment="1">
      <alignment horizontal="center" vertical="center"/>
    </xf>
    <xf numFmtId="0" fontId="44" fillId="0" borderId="27" xfId="5" applyFont="1" applyBorder="1" applyAlignment="1">
      <alignment horizontal="center" vertical="center"/>
    </xf>
    <xf numFmtId="0" fontId="43" fillId="0" borderId="31" xfId="5" applyFont="1" applyBorder="1" applyAlignment="1">
      <alignment horizontal="center" vertical="top"/>
    </xf>
    <xf numFmtId="0" fontId="44" fillId="0" borderId="32" xfId="5" applyFont="1" applyBorder="1"/>
    <xf numFmtId="0" fontId="44" fillId="0" borderId="32" xfId="5" applyFont="1" applyBorder="1" applyAlignment="1">
      <alignment horizontal="center" vertical="center"/>
    </xf>
    <xf numFmtId="0" fontId="44" fillId="0" borderId="33" xfId="5" applyFont="1" applyBorder="1" applyAlignment="1">
      <alignment horizontal="center" vertical="center"/>
    </xf>
    <xf numFmtId="0" fontId="43" fillId="0" borderId="3" xfId="11" applyFont="1" applyBorder="1" applyAlignment="1">
      <alignment horizontal="center" vertical="top"/>
    </xf>
    <xf numFmtId="0" fontId="43" fillId="0" borderId="0" xfId="25" applyFont="1"/>
    <xf numFmtId="0" fontId="43" fillId="0" borderId="0" xfId="11" applyFont="1" applyAlignment="1">
      <alignment vertical="center" wrapText="1"/>
    </xf>
    <xf numFmtId="0" fontId="43" fillId="0" borderId="27" xfId="11" applyFont="1" applyBorder="1" applyAlignment="1">
      <alignment horizontal="center" vertical="center"/>
    </xf>
    <xf numFmtId="4" fontId="43" fillId="0" borderId="27" xfId="5" applyNumberFormat="1" applyFont="1" applyBorder="1" applyAlignment="1">
      <alignment horizontal="center" vertical="center"/>
    </xf>
    <xf numFmtId="0" fontId="44" fillId="0" borderId="0" xfId="11" applyFont="1" applyAlignment="1">
      <alignment vertical="center" wrapText="1"/>
    </xf>
    <xf numFmtId="0" fontId="43" fillId="0" borderId="0" xfId="11" applyFont="1" applyAlignment="1">
      <alignment horizontal="right" vertical="center" wrapText="1"/>
    </xf>
    <xf numFmtId="4" fontId="43" fillId="0" borderId="25" xfId="5" applyNumberFormat="1" applyFont="1" applyBorder="1" applyAlignment="1">
      <alignment horizontal="center" vertical="center"/>
    </xf>
    <xf numFmtId="0" fontId="43" fillId="0" borderId="0" xfId="5" applyFont="1" applyAlignment="1">
      <alignment horizontal="center" vertical="top"/>
    </xf>
    <xf numFmtId="0" fontId="43" fillId="0" borderId="0" xfId="5" applyFont="1"/>
    <xf numFmtId="0" fontId="43" fillId="0" borderId="0" xfId="5" applyFont="1" applyAlignment="1">
      <alignment vertical="center"/>
    </xf>
    <xf numFmtId="1" fontId="44" fillId="0" borderId="27" xfId="12" applyNumberFormat="1" applyFont="1" applyBorder="1" applyAlignment="1">
      <alignment horizontal="center" vertical="center"/>
    </xf>
    <xf numFmtId="0" fontId="44" fillId="0" borderId="26" xfId="5" applyFont="1" applyBorder="1" applyAlignment="1">
      <alignment horizontal="center" vertical="center"/>
    </xf>
    <xf numFmtId="2" fontId="44" fillId="0" borderId="27" xfId="5" applyNumberFormat="1" applyFont="1" applyBorder="1" applyAlignment="1">
      <alignment horizontal="center" vertical="center"/>
    </xf>
    <xf numFmtId="0" fontId="44" fillId="0" borderId="0" xfId="11" applyFont="1" applyAlignment="1">
      <alignment horizontal="center" vertical="center" wrapText="1"/>
    </xf>
    <xf numFmtId="0" fontId="44" fillId="0" borderId="0" xfId="11" applyFont="1" applyAlignment="1">
      <alignment wrapText="1"/>
    </xf>
    <xf numFmtId="0" fontId="49" fillId="0" borderId="27" xfId="11" applyFont="1" applyBorder="1" applyAlignment="1">
      <alignment horizontal="center" vertical="center"/>
    </xf>
    <xf numFmtId="0" fontId="44" fillId="0" borderId="0" xfId="11" applyFont="1" applyAlignment="1">
      <alignment horizontal="right" vertical="center" wrapText="1"/>
    </xf>
    <xf numFmtId="0" fontId="50" fillId="0" borderId="0" xfId="10" applyFont="1"/>
    <xf numFmtId="1" fontId="50" fillId="0" borderId="27" xfId="12" applyNumberFormat="1" applyFont="1" applyBorder="1" applyAlignment="1">
      <alignment horizontal="center" vertical="center"/>
    </xf>
    <xf numFmtId="0" fontId="52" fillId="0" borderId="0" xfId="10" applyFont="1"/>
    <xf numFmtId="0" fontId="53" fillId="0" borderId="27" xfId="11" applyFont="1" applyBorder="1" applyAlignment="1">
      <alignment horizontal="center" vertical="center"/>
    </xf>
    <xf numFmtId="0" fontId="51" fillId="0" borderId="8" xfId="10" applyFont="1" applyBorder="1" applyAlignment="1">
      <alignment horizontal="center"/>
    </xf>
    <xf numFmtId="0" fontId="49" fillId="0" borderId="0" xfId="10" applyFont="1" applyAlignment="1">
      <alignment horizontal="center"/>
    </xf>
    <xf numFmtId="0" fontId="49" fillId="0" borderId="0" xfId="11" applyFont="1" applyAlignment="1">
      <alignment horizontal="center" vertical="center" wrapText="1"/>
    </xf>
    <xf numFmtId="0" fontId="51" fillId="0" borderId="0" xfId="10" applyFont="1" applyAlignment="1">
      <alignment horizontal="center"/>
    </xf>
    <xf numFmtId="4" fontId="9" fillId="0" borderId="0" xfId="5" applyNumberFormat="1" applyFont="1"/>
    <xf numFmtId="0" fontId="49" fillId="0" borderId="27" xfId="11" applyFont="1" applyBorder="1" applyAlignment="1">
      <alignment horizontal="right" vertical="center"/>
    </xf>
    <xf numFmtId="0" fontId="53" fillId="0" borderId="27" xfId="11" applyFont="1" applyBorder="1" applyAlignment="1">
      <alignment horizontal="right" vertical="center"/>
    </xf>
    <xf numFmtId="0" fontId="7" fillId="0" borderId="35" xfId="10" applyFont="1" applyBorder="1"/>
    <xf numFmtId="4" fontId="9" fillId="0" borderId="25" xfId="9" applyNumberFormat="1" applyFont="1" applyBorder="1" applyAlignment="1">
      <alignment horizontal="center"/>
    </xf>
    <xf numFmtId="4" fontId="9" fillId="0" borderId="25" xfId="5" applyNumberFormat="1" applyFont="1" applyBorder="1"/>
    <xf numFmtId="4" fontId="7" fillId="0" borderId="14" xfId="10" applyNumberFormat="1" applyFont="1" applyBorder="1"/>
    <xf numFmtId="4" fontId="7" fillId="0" borderId="1" xfId="10" applyNumberFormat="1" applyFont="1" applyBorder="1"/>
    <xf numFmtId="4" fontId="7" fillId="0" borderId="0" xfId="10" applyNumberFormat="1" applyFont="1"/>
    <xf numFmtId="4" fontId="44" fillId="0" borderId="25" xfId="5" applyNumberFormat="1" applyFont="1" applyBorder="1" applyAlignment="1">
      <alignment horizontal="center" vertical="center"/>
    </xf>
    <xf numFmtId="0" fontId="56" fillId="0" borderId="0" xfId="10" applyFont="1" applyAlignment="1">
      <alignment horizontal="center"/>
    </xf>
    <xf numFmtId="0" fontId="57" fillId="0" borderId="0" xfId="11" applyFont="1" applyAlignment="1">
      <alignment vertical="center" wrapText="1"/>
    </xf>
    <xf numFmtId="1" fontId="58" fillId="0" borderId="27" xfId="12" applyNumberFormat="1" applyFont="1" applyBorder="1" applyAlignment="1">
      <alignment horizontal="center" vertical="center"/>
    </xf>
    <xf numFmtId="0" fontId="59" fillId="0" borderId="27" xfId="11" applyFont="1" applyBorder="1" applyAlignment="1">
      <alignment horizontal="center" vertical="center"/>
    </xf>
    <xf numFmtId="2" fontId="58" fillId="0" borderId="27" xfId="5" applyNumberFormat="1" applyFont="1" applyBorder="1" applyAlignment="1">
      <alignment horizontal="center" vertical="center"/>
    </xf>
    <xf numFmtId="4" fontId="57" fillId="0" borderId="27" xfId="5" applyNumberFormat="1" applyFont="1" applyBorder="1" applyAlignment="1">
      <alignment horizontal="center" vertical="center"/>
    </xf>
    <xf numFmtId="0" fontId="57" fillId="0" borderId="27" xfId="11" applyFont="1" applyBorder="1" applyAlignment="1">
      <alignment horizontal="center" vertical="center"/>
    </xf>
    <xf numFmtId="4" fontId="58" fillId="0" borderId="25" xfId="5" applyNumberFormat="1" applyFont="1" applyBorder="1" applyAlignment="1">
      <alignment horizontal="center" vertical="center"/>
    </xf>
    <xf numFmtId="1" fontId="58" fillId="3" borderId="27" xfId="12" applyNumberFormat="1" applyFont="1" applyFill="1" applyBorder="1" applyAlignment="1">
      <alignment horizontal="center" vertical="center"/>
    </xf>
    <xf numFmtId="0" fontId="57" fillId="3" borderId="27" xfId="11" applyFont="1" applyFill="1" applyBorder="1" applyAlignment="1">
      <alignment horizontal="center" vertical="center"/>
    </xf>
    <xf numFmtId="2" fontId="58" fillId="3" borderId="27" xfId="5" applyNumberFormat="1" applyFont="1" applyFill="1" applyBorder="1" applyAlignment="1">
      <alignment horizontal="center" vertical="center"/>
    </xf>
    <xf numFmtId="4" fontId="57" fillId="3" borderId="27" xfId="5" applyNumberFormat="1" applyFont="1" applyFill="1" applyBorder="1" applyAlignment="1">
      <alignment horizontal="center" vertical="center"/>
    </xf>
    <xf numFmtId="1" fontId="44" fillId="3" borderId="27" xfId="12" applyNumberFormat="1" applyFont="1" applyFill="1" applyBorder="1" applyAlignment="1">
      <alignment horizontal="center" vertical="center"/>
    </xf>
    <xf numFmtId="0" fontId="57" fillId="3" borderId="0" xfId="11" applyFont="1" applyFill="1" applyAlignment="1">
      <alignment vertical="center" wrapText="1"/>
    </xf>
    <xf numFmtId="0" fontId="35" fillId="3" borderId="0" xfId="14" applyFont="1" applyFill="1"/>
    <xf numFmtId="0" fontId="35" fillId="3" borderId="0" xfId="14" applyFont="1" applyFill="1" applyAlignment="1">
      <alignment horizontal="right"/>
    </xf>
    <xf numFmtId="4" fontId="9" fillId="3" borderId="0" xfId="5" applyNumberFormat="1" applyFont="1" applyFill="1"/>
  </cellXfs>
  <cellStyles count="28">
    <cellStyle name="Comma 2" xfId="9" xr:uid="{00000000-0005-0000-0000-000000000000}"/>
    <cellStyle name="Normal" xfId="0" builtinId="0"/>
    <cellStyle name="Normal 10" xfId="27" xr:uid="{71AC4DCA-F0B7-4BDD-AE62-DB06209DBAE8}"/>
    <cellStyle name="Normal 2" xfId="2" xr:uid="{00000000-0005-0000-0000-000002000000}"/>
    <cellStyle name="Normal 2 2" xfId="5" xr:uid="{00000000-0005-0000-0000-000003000000}"/>
    <cellStyle name="Normal 2 2 2" xfId="14" xr:uid="{00000000-0005-0000-0000-000004000000}"/>
    <cellStyle name="Normal 2 2 3" xfId="11" xr:uid="{00000000-0005-0000-0000-000005000000}"/>
    <cellStyle name="Normal 2 3" xfId="13" xr:uid="{00000000-0005-0000-0000-000006000000}"/>
    <cellStyle name="Normal 2 3 3" xfId="24" xr:uid="{2854465C-E1CF-4D10-BADD-D3B329CF06E9}"/>
    <cellStyle name="Normal 2 3 3 2" xfId="26" xr:uid="{32A91C6E-6430-4D45-BE9C-51D778415565}"/>
    <cellStyle name="Normal 3" xfId="3" xr:uid="{00000000-0005-0000-0000-000007000000}"/>
    <cellStyle name="Normal 3 2" xfId="7" xr:uid="{00000000-0005-0000-0000-000008000000}"/>
    <cellStyle name="Normal 3 2 2" xfId="12" xr:uid="{00000000-0005-0000-0000-000009000000}"/>
    <cellStyle name="Normal 3 2 2 2" xfId="17" xr:uid="{D360F3C3-27A5-4F39-A166-7D8579912E1A}"/>
    <cellStyle name="Normal 3 2 2 2 2" xfId="18" xr:uid="{C47AFBAE-2159-49C0-8975-6620E99546AE}"/>
    <cellStyle name="Normal 3 2 3" xfId="15" xr:uid="{09175807-9481-4DF7-ABAC-2A33AB80BA9A}"/>
    <cellStyle name="Normal 3 2 3 2" xfId="21" xr:uid="{306E0290-2A3D-43BC-BB8D-85FD566B2F7B}"/>
    <cellStyle name="Normal 3 2 4" xfId="20" xr:uid="{87503AC1-347A-450E-901F-820C7B5E6CCD}"/>
    <cellStyle name="Normal 3 3" xfId="19" xr:uid="{7781D7D8-E871-4CD0-8219-754E27B74AE3}"/>
    <cellStyle name="Normal 4" xfId="4" xr:uid="{00000000-0005-0000-0000-00000A000000}"/>
    <cellStyle name="Normal 4 2" xfId="6" xr:uid="{00000000-0005-0000-0000-00000B000000}"/>
    <cellStyle name="Normal 5" xfId="1" xr:uid="{00000000-0005-0000-0000-00000C000000}"/>
    <cellStyle name="Normal 6" xfId="8" xr:uid="{00000000-0005-0000-0000-00000D000000}"/>
    <cellStyle name="Normal 6 2" xfId="10" xr:uid="{00000000-0005-0000-0000-00000E000000}"/>
    <cellStyle name="Normal 6 3" xfId="23" xr:uid="{2D482ACC-5873-4949-AA9F-8AEE3B5EA3F7}"/>
    <cellStyle name="Normal 7" xfId="16" xr:uid="{1F8CDD07-DEDD-46F5-8361-09AACF0C73FB}"/>
    <cellStyle name="Normal 8" xfId="22" xr:uid="{28596044-D66C-4086-B3E8-965693946F31}"/>
    <cellStyle name="Normal 9" xfId="25" xr:uid="{69F0DFEB-72B7-420B-A4D1-13C854596526}"/>
  </cellStyles>
  <dxfs count="0"/>
  <tableStyles count="0" defaultTableStyle="TableStyleMedium2" defaultPivotStyle="PivotStyleLight16"/>
  <colors>
    <mruColors>
      <color rgb="FFFFFF00"/>
      <color rgb="FFFF3399"/>
      <color rgb="FFFFDA65"/>
      <color rgb="FFEAEAEA"/>
      <color rgb="FF00FFFF"/>
      <color rgb="FFF5952B"/>
      <color rgb="FF66FF33"/>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BoQ%20master%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Master%20BoQ%20file%20(%20spec%20-description%20-%20units%20-%20Gui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 packages list"/>
      <sheetName val="Master temp cost+time estimates"/>
      <sheetName val="Work Description list"/>
      <sheetName val="Work Items list"/>
      <sheetName val="materials package list"/>
      <sheetName val="materials description list"/>
      <sheetName val="materials items list"/>
      <sheetName val="Plant list"/>
      <sheetName val="Labour list"/>
      <sheetName val="Equipment list"/>
      <sheetName val="Other list"/>
      <sheetName val="Master Temp cost+time planning"/>
      <sheetName val="Lists"/>
      <sheetName val="BoQ - templates"/>
      <sheetName val="BoQ -0 Preparation"/>
      <sheetName val="BoQ - 1 Preparation"/>
      <sheetName val="BoQ - 2 Preparation"/>
      <sheetName val="BoQ - 3 Preparation"/>
      <sheetName val="BoQ - 4 Preparation"/>
      <sheetName val="BoQ - 5 Preparation"/>
      <sheetName val="BoQ - 6 Preparation"/>
      <sheetName val="BoQ - 7 Preparation"/>
      <sheetName val="BoQ - 8 Preparation"/>
      <sheetName val="BoQ - 9 Preparation"/>
      <sheetName val="BoQ - 10 Preparation"/>
      <sheetName val="BoQ - 11 Preparation"/>
      <sheetName val="BoQ - 12 Preparation"/>
      <sheetName val="BoQ - 13 Preparation"/>
      <sheetName val="BoQ - 14 Prepa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B2" t="str">
            <v xml:space="preserve">Bill Nr 0 </v>
          </cell>
        </row>
        <row r="3">
          <cell r="B3" t="str">
            <v xml:space="preserve">Bill Nr 1 </v>
          </cell>
        </row>
        <row r="4">
          <cell r="B4" t="str">
            <v>Bill Nr 2</v>
          </cell>
        </row>
        <row r="5">
          <cell r="B5" t="str">
            <v>Bill Nr 3 a</v>
          </cell>
        </row>
        <row r="6">
          <cell r="B6" t="str">
            <v>Bill Nr 3 b</v>
          </cell>
        </row>
        <row r="7">
          <cell r="B7" t="str">
            <v>Bill Nr 4</v>
          </cell>
        </row>
        <row r="8">
          <cell r="B8" t="str">
            <v>Bill Nr 5</v>
          </cell>
        </row>
        <row r="9">
          <cell r="B9" t="str">
            <v>Bill Nr 6</v>
          </cell>
        </row>
        <row r="10">
          <cell r="B10" t="str">
            <v>Bill Nr 7</v>
          </cell>
        </row>
        <row r="11">
          <cell r="B11" t="str">
            <v>Bill Nr 8</v>
          </cell>
        </row>
        <row r="12">
          <cell r="B12" t="str">
            <v>Bill Nr 9</v>
          </cell>
        </row>
        <row r="13">
          <cell r="B13" t="str">
            <v>Bill Nr 10</v>
          </cell>
        </row>
        <row r="14">
          <cell r="B14" t="str">
            <v>Bill Nr 11</v>
          </cell>
        </row>
        <row r="15">
          <cell r="B15" t="str">
            <v>Bill Nr 12</v>
          </cell>
        </row>
        <row r="16">
          <cell r="B16" t="str">
            <v>Bill Nr 13</v>
          </cell>
        </row>
        <row r="17">
          <cell r="B17" t="str">
            <v>Bill Nr 14</v>
          </cell>
        </row>
        <row r="19">
          <cell r="B19" t="str">
            <v>Κατεδαφίσεις/ Αποξηλώσεις/ Καθερέσεις</v>
          </cell>
        </row>
        <row r="20">
          <cell r="B20" t="str">
            <v>Προκαταρτικά</v>
          </cell>
        </row>
        <row r="21">
          <cell r="B21" t="str">
            <v>Χωματουργικές Εργασίες</v>
          </cell>
        </row>
        <row r="22">
          <cell r="B22" t="str">
            <v>Εργασίες Σκυροδέματος και Μονώσεις Υποδομής</v>
          </cell>
        </row>
        <row r="23">
          <cell r="B23" t="str">
            <v>Δομικές μεταλλικές κατασκευές</v>
          </cell>
        </row>
        <row r="24">
          <cell r="B24" t="str">
            <v>Τοιχοποιία</v>
          </cell>
        </row>
        <row r="25">
          <cell r="B25" t="str">
            <v>Επιχρίσματα/ Επενδύσεις</v>
          </cell>
        </row>
        <row r="26">
          <cell r="B26" t="str">
            <v>Χρωματισμοί</v>
          </cell>
        </row>
        <row r="27">
          <cell r="B27" t="str">
            <v>Δαπεδοστρώσεις/ Υποστρώμματα</v>
          </cell>
        </row>
        <row r="28">
          <cell r="B28" t="str">
            <v>Μεταλλικές Εργασίες</v>
          </cell>
        </row>
        <row r="29">
          <cell r="B29" t="str">
            <v xml:space="preserve">Οροφές και Μονώσεις Ανωδομής </v>
          </cell>
        </row>
        <row r="30">
          <cell r="B30" t="str">
            <v>Ξυλουργικές Εργασίες</v>
          </cell>
        </row>
        <row r="31">
          <cell r="B31" t="str">
            <v>Μηχανολογικές και Υδραυλικές Εγκαταστάσεις</v>
          </cell>
        </row>
        <row r="32">
          <cell r="B32" t="str">
            <v>Εξωτερικές Εργασίες</v>
          </cell>
        </row>
        <row r="33">
          <cell r="B33" t="str">
            <v>Εργασίες με Hμερίσιο Aπολογισμό</v>
          </cell>
        </row>
        <row r="34">
          <cell r="B34" t="str">
            <v>Ποσά Προνοίας / Ποσά Αρχικού Κόστους</v>
          </cell>
        </row>
      </sheetData>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Master Template"/>
      <sheetName val="BoQ -0 Preparation"/>
    </sheetNames>
    <sheetDataSet>
      <sheetData sheetId="0">
        <row r="2">
          <cell r="B2" t="str">
            <v xml:space="preserve">Bill Nr 0 </v>
          </cell>
        </row>
        <row r="3">
          <cell r="B3" t="str">
            <v xml:space="preserve">Bill Nr 1 </v>
          </cell>
        </row>
        <row r="4">
          <cell r="B4" t="str">
            <v>Bill Nr 2</v>
          </cell>
        </row>
        <row r="5">
          <cell r="B5" t="str">
            <v>Bill Nr 3</v>
          </cell>
        </row>
        <row r="6">
          <cell r="B6" t="str">
            <v>Bill Nr 4</v>
          </cell>
        </row>
        <row r="7">
          <cell r="B7" t="str">
            <v>Bill Nr 5</v>
          </cell>
        </row>
        <row r="8">
          <cell r="B8" t="str">
            <v>Bill Nr 6</v>
          </cell>
        </row>
        <row r="9">
          <cell r="B9" t="str">
            <v>Bill Nr 7</v>
          </cell>
        </row>
        <row r="10">
          <cell r="B10" t="str">
            <v>Bill Nr 8</v>
          </cell>
        </row>
        <row r="11">
          <cell r="B11" t="str">
            <v>Bill Nr 9</v>
          </cell>
        </row>
        <row r="12">
          <cell r="B12" t="str">
            <v>Bill Nr 10</v>
          </cell>
        </row>
        <row r="13">
          <cell r="B13" t="str">
            <v>Bill Nr 11</v>
          </cell>
        </row>
        <row r="14">
          <cell r="B14" t="str">
            <v>Bill Nr 12</v>
          </cell>
        </row>
        <row r="15">
          <cell r="B15" t="str">
            <v>Bill Nr 13</v>
          </cell>
        </row>
        <row r="16">
          <cell r="B16" t="str">
            <v>Bill Nr 14</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F2FF3-2655-4497-A4BB-B18E19607082}">
  <sheetPr>
    <tabColor rgb="FFFFFF00"/>
  </sheetPr>
  <dimension ref="A1:H903"/>
  <sheetViews>
    <sheetView view="pageBreakPreview" topLeftCell="A867" zoomScale="112" zoomScaleNormal="90" zoomScaleSheetLayoutView="112" workbookViewId="0">
      <selection activeCell="E817" sqref="E817"/>
    </sheetView>
  </sheetViews>
  <sheetFormatPr defaultColWidth="9.140625" defaultRowHeight="14.25" x14ac:dyDescent="0.2"/>
  <cols>
    <col min="1" max="1" width="3.85546875" style="2" customWidth="1"/>
    <col min="2" max="2" width="0.85546875" style="158" customWidth="1"/>
    <col min="3" max="3" width="70.5703125" style="158" customWidth="1"/>
    <col min="4" max="4" width="3.28515625" style="158" customWidth="1"/>
    <col min="5" max="5" width="15.7109375" style="332" customWidth="1"/>
    <col min="6" max="6" width="4" style="158" customWidth="1"/>
    <col min="7" max="16384" width="9.140625" style="158"/>
  </cols>
  <sheetData>
    <row r="1" spans="1:8" x14ac:dyDescent="0.2">
      <c r="A1" s="308"/>
      <c r="B1" s="157"/>
      <c r="C1" s="157"/>
      <c r="D1" s="157"/>
      <c r="E1" s="318"/>
    </row>
    <row r="2" spans="1:8" s="160" customFormat="1" ht="15" x14ac:dyDescent="0.25">
      <c r="A2" s="309"/>
      <c r="B2" s="159"/>
      <c r="C2" s="159"/>
      <c r="D2" s="159"/>
      <c r="E2" s="319"/>
    </row>
    <row r="3" spans="1:8" s="160" customFormat="1" ht="15" x14ac:dyDescent="0.25">
      <c r="A3" s="161"/>
      <c r="B3" s="162"/>
      <c r="C3" s="162" t="s">
        <v>0</v>
      </c>
      <c r="D3" s="162"/>
      <c r="E3" s="320" t="s">
        <v>5</v>
      </c>
    </row>
    <row r="4" spans="1:8" s="160" customFormat="1" ht="15" x14ac:dyDescent="0.25">
      <c r="A4" s="1"/>
      <c r="C4" s="301"/>
      <c r="D4" s="301"/>
      <c r="E4" s="321"/>
    </row>
    <row r="5" spans="1:8" s="160" customFormat="1" ht="28.5" x14ac:dyDescent="0.25">
      <c r="A5" s="1" t="s">
        <v>9</v>
      </c>
      <c r="C5" s="322" t="s">
        <v>471</v>
      </c>
      <c r="D5" s="323"/>
      <c r="E5" s="324"/>
    </row>
    <row r="6" spans="1:8" s="160" customFormat="1" ht="15" x14ac:dyDescent="0.25">
      <c r="A6" s="1"/>
      <c r="C6" s="322"/>
      <c r="D6" s="323"/>
      <c r="E6" s="324"/>
    </row>
    <row r="7" spans="1:8" s="160" customFormat="1" ht="28.5" x14ac:dyDescent="0.25">
      <c r="A7" s="1" t="s">
        <v>10</v>
      </c>
      <c r="C7" s="322" t="s">
        <v>472</v>
      </c>
      <c r="D7" s="323"/>
      <c r="E7" s="324"/>
    </row>
    <row r="8" spans="1:8" s="160" customFormat="1" ht="15" x14ac:dyDescent="0.25">
      <c r="A8" s="1"/>
      <c r="C8" s="322"/>
      <c r="D8" s="323"/>
      <c r="E8" s="324"/>
    </row>
    <row r="9" spans="1:8" s="160" customFormat="1" ht="71.25" x14ac:dyDescent="0.25">
      <c r="A9" s="1" t="s">
        <v>11</v>
      </c>
      <c r="C9" s="322" t="s">
        <v>473</v>
      </c>
      <c r="D9" s="323"/>
      <c r="E9" s="324"/>
      <c r="G9" s="304"/>
      <c r="H9" s="168"/>
    </row>
    <row r="10" spans="1:8" s="160" customFormat="1" ht="15" x14ac:dyDescent="0.25">
      <c r="A10" s="1"/>
      <c r="C10" s="322"/>
      <c r="D10" s="323"/>
      <c r="E10" s="324"/>
      <c r="H10" s="168"/>
    </row>
    <row r="11" spans="1:8" s="160" customFormat="1" ht="28.5" x14ac:dyDescent="0.25">
      <c r="A11" s="1" t="s">
        <v>12</v>
      </c>
      <c r="C11" s="322" t="s">
        <v>474</v>
      </c>
      <c r="D11" s="323"/>
      <c r="E11" s="324"/>
      <c r="H11" s="168"/>
    </row>
    <row r="12" spans="1:8" s="160" customFormat="1" ht="15" x14ac:dyDescent="0.25">
      <c r="A12" s="1"/>
      <c r="C12" s="322"/>
      <c r="D12" s="323"/>
      <c r="E12" s="324"/>
    </row>
    <row r="13" spans="1:8" s="160" customFormat="1" ht="28.5" x14ac:dyDescent="0.25">
      <c r="A13" s="1" t="s">
        <v>13</v>
      </c>
      <c r="C13" s="322" t="s">
        <v>475</v>
      </c>
      <c r="D13" s="323"/>
      <c r="E13" s="324"/>
      <c r="H13" s="168"/>
    </row>
    <row r="14" spans="1:8" s="160" customFormat="1" ht="15" x14ac:dyDescent="0.25">
      <c r="A14" s="1"/>
      <c r="C14" s="322"/>
      <c r="D14" s="323"/>
      <c r="E14" s="324"/>
    </row>
    <row r="15" spans="1:8" s="160" customFormat="1" ht="42.75" x14ac:dyDescent="0.25">
      <c r="A15" s="1" t="s">
        <v>14</v>
      </c>
      <c r="C15" s="322" t="s">
        <v>476</v>
      </c>
      <c r="D15" s="323"/>
      <c r="E15" s="324"/>
    </row>
    <row r="16" spans="1:8" s="160" customFormat="1" ht="15" x14ac:dyDescent="0.25">
      <c r="A16" s="1"/>
      <c r="C16" s="322"/>
      <c r="D16" s="323"/>
      <c r="E16" s="324"/>
    </row>
    <row r="17" spans="1:7" s="299" customFormat="1" ht="60" x14ac:dyDescent="0.2">
      <c r="A17" s="4" t="s">
        <v>15</v>
      </c>
      <c r="C17" s="339" t="s">
        <v>477</v>
      </c>
      <c r="D17" s="323"/>
      <c r="E17" s="373"/>
    </row>
    <row r="18" spans="1:7" s="299" customFormat="1" x14ac:dyDescent="0.2">
      <c r="A18" s="4"/>
      <c r="C18" s="322"/>
      <c r="D18" s="323"/>
      <c r="E18" s="373"/>
    </row>
    <row r="19" spans="1:7" s="299" customFormat="1" ht="42.75" x14ac:dyDescent="0.2">
      <c r="A19" s="4" t="s">
        <v>16</v>
      </c>
      <c r="C19" s="322" t="s">
        <v>478</v>
      </c>
      <c r="D19" s="323"/>
      <c r="E19" s="373"/>
    </row>
    <row r="20" spans="1:7" s="160" customFormat="1" ht="15" x14ac:dyDescent="0.25">
      <c r="A20" s="1"/>
      <c r="C20" s="325"/>
      <c r="D20" s="323"/>
      <c r="E20" s="324"/>
    </row>
    <row r="21" spans="1:7" s="299" customFormat="1" ht="15" x14ac:dyDescent="0.2">
      <c r="A21" s="4" t="s">
        <v>17</v>
      </c>
      <c r="C21" s="325" t="s">
        <v>479</v>
      </c>
      <c r="D21" s="323"/>
      <c r="E21" s="373"/>
    </row>
    <row r="22" spans="1:7" s="160" customFormat="1" ht="15" x14ac:dyDescent="0.25">
      <c r="A22" s="1"/>
      <c r="C22" s="325"/>
      <c r="D22" s="326"/>
      <c r="E22" s="324"/>
    </row>
    <row r="23" spans="1:7" s="160" customFormat="1" ht="15" x14ac:dyDescent="0.25">
      <c r="A23" s="1"/>
      <c r="C23" s="339"/>
      <c r="D23" s="326"/>
      <c r="E23" s="324"/>
    </row>
    <row r="24" spans="1:7" s="160" customFormat="1" ht="15" x14ac:dyDescent="0.25">
      <c r="A24" s="1"/>
      <c r="C24" s="325"/>
      <c r="D24" s="326"/>
      <c r="E24" s="324"/>
    </row>
    <row r="25" spans="1:7" s="160" customFormat="1" ht="15" x14ac:dyDescent="0.25">
      <c r="A25" s="1"/>
      <c r="C25" s="325"/>
      <c r="D25" s="326"/>
      <c r="E25" s="324"/>
    </row>
    <row r="26" spans="1:7" s="160" customFormat="1" ht="15" x14ac:dyDescent="0.25">
      <c r="A26" s="1"/>
      <c r="C26" s="325"/>
      <c r="D26" s="326"/>
      <c r="E26" s="324"/>
    </row>
    <row r="27" spans="1:7" s="160" customFormat="1" ht="15" x14ac:dyDescent="0.25">
      <c r="A27" s="1"/>
      <c r="C27" s="325"/>
      <c r="D27" s="326"/>
      <c r="E27" s="324"/>
    </row>
    <row r="28" spans="1:7" s="160" customFormat="1" ht="15" x14ac:dyDescent="0.25">
      <c r="A28" s="1"/>
      <c r="C28" s="325"/>
      <c r="D28" s="326"/>
      <c r="E28" s="324"/>
    </row>
    <row r="29" spans="1:7" s="160" customFormat="1" ht="15" x14ac:dyDescent="0.25">
      <c r="A29" s="1"/>
      <c r="C29" s="327"/>
      <c r="D29" s="327"/>
      <c r="E29" s="324"/>
    </row>
    <row r="30" spans="1:7" s="160" customFormat="1" ht="15" x14ac:dyDescent="0.25">
      <c r="A30" s="1"/>
      <c r="C30" s="327"/>
      <c r="D30" s="327"/>
      <c r="E30" s="324"/>
    </row>
    <row r="31" spans="1:7" s="160" customFormat="1" ht="15" x14ac:dyDescent="0.25">
      <c r="A31" s="1"/>
      <c r="C31" s="328"/>
      <c r="D31" s="328"/>
      <c r="E31" s="324"/>
    </row>
    <row r="32" spans="1:7" s="299" customFormat="1" x14ac:dyDescent="0.2">
      <c r="A32" s="4"/>
      <c r="C32" s="307"/>
      <c r="D32" s="307"/>
      <c r="E32" s="324"/>
      <c r="G32" s="304"/>
    </row>
    <row r="33" spans="1:7" s="299" customFormat="1" ht="15" x14ac:dyDescent="0.2">
      <c r="A33" s="4"/>
      <c r="C33" s="305"/>
      <c r="D33" s="305"/>
      <c r="E33" s="373"/>
    </row>
    <row r="34" spans="1:7" s="299" customFormat="1" x14ac:dyDescent="0.2">
      <c r="A34" s="4"/>
      <c r="C34" s="307"/>
      <c r="D34" s="307"/>
      <c r="E34" s="324"/>
      <c r="G34" s="304"/>
    </row>
    <row r="35" spans="1:7" s="299" customFormat="1" x14ac:dyDescent="0.2">
      <c r="A35" s="4"/>
      <c r="C35" s="307"/>
      <c r="D35" s="307"/>
      <c r="E35" s="324"/>
      <c r="G35" s="304"/>
    </row>
    <row r="36" spans="1:7" x14ac:dyDescent="0.2">
      <c r="A36" s="161"/>
      <c r="B36" s="157"/>
      <c r="C36" s="157"/>
      <c r="D36" s="157"/>
      <c r="E36" s="329"/>
    </row>
    <row r="37" spans="1:7" ht="15" x14ac:dyDescent="0.25">
      <c r="A37" s="163"/>
      <c r="C37" s="166"/>
      <c r="D37" s="166"/>
      <c r="E37" s="330"/>
    </row>
    <row r="38" spans="1:7" ht="15.75" thickBot="1" x14ac:dyDescent="0.3">
      <c r="A38" s="163"/>
      <c r="C38" s="164" t="s">
        <v>6</v>
      </c>
      <c r="D38" s="164"/>
      <c r="E38" s="331">
        <f>SUM(E5:E37)</f>
        <v>0</v>
      </c>
    </row>
    <row r="39" spans="1:7" ht="15" thickTop="1" x14ac:dyDescent="0.2"/>
    <row r="40" spans="1:7" x14ac:dyDescent="0.2">
      <c r="A40" s="190"/>
      <c r="B40" s="188"/>
      <c r="C40" s="311"/>
      <c r="D40" s="188"/>
      <c r="E40" s="376"/>
    </row>
    <row r="41" spans="1:7" ht="15" x14ac:dyDescent="0.25">
      <c r="A41" s="191"/>
      <c r="B41" s="192"/>
      <c r="C41" s="333"/>
      <c r="D41" s="192"/>
      <c r="E41" s="377"/>
    </row>
    <row r="42" spans="1:7" ht="15" x14ac:dyDescent="0.25">
      <c r="A42" s="193"/>
      <c r="B42" s="194"/>
      <c r="C42" s="334" t="s">
        <v>0</v>
      </c>
      <c r="D42" s="194"/>
      <c r="E42" s="378" t="s">
        <v>5</v>
      </c>
    </row>
    <row r="43" spans="1:7" ht="15" x14ac:dyDescent="0.25">
      <c r="A43" s="191"/>
      <c r="B43" s="188"/>
      <c r="C43" s="335"/>
      <c r="D43" s="336"/>
      <c r="E43" s="379"/>
    </row>
    <row r="44" spans="1:7" ht="15" x14ac:dyDescent="0.2">
      <c r="A44" s="187"/>
      <c r="B44" s="188"/>
      <c r="C44" s="337" t="s">
        <v>480</v>
      </c>
      <c r="D44" s="338"/>
      <c r="E44" s="380"/>
    </row>
    <row r="45" spans="1:7" x14ac:dyDescent="0.2">
      <c r="A45" s="187"/>
      <c r="B45" s="188"/>
      <c r="C45" s="322"/>
      <c r="D45" s="323"/>
      <c r="E45" s="380"/>
    </row>
    <row r="46" spans="1:7" ht="43.5" x14ac:dyDescent="0.25">
      <c r="A46" s="187" t="s">
        <v>9</v>
      </c>
      <c r="B46" s="188"/>
      <c r="C46" s="322" t="s">
        <v>747</v>
      </c>
      <c r="D46" s="323"/>
      <c r="E46" s="381"/>
    </row>
    <row r="47" spans="1:7" ht="15" x14ac:dyDescent="0.25">
      <c r="A47" s="187"/>
      <c r="B47" s="188"/>
      <c r="C47" s="322"/>
      <c r="D47" s="323"/>
      <c r="E47" s="381"/>
    </row>
    <row r="48" spans="1:7" ht="15" x14ac:dyDescent="0.25">
      <c r="A48" s="187"/>
      <c r="B48" s="188"/>
      <c r="C48" s="337" t="s">
        <v>481</v>
      </c>
      <c r="D48" s="338"/>
      <c r="E48" s="381"/>
    </row>
    <row r="49" spans="1:5" ht="15" x14ac:dyDescent="0.25">
      <c r="A49" s="187"/>
      <c r="B49" s="188"/>
      <c r="C49" s="322"/>
      <c r="D49" s="323"/>
      <c r="E49" s="381"/>
    </row>
    <row r="50" spans="1:5" ht="42.75" x14ac:dyDescent="0.25">
      <c r="A50" s="187" t="s">
        <v>10</v>
      </c>
      <c r="B50" s="188"/>
      <c r="C50" s="322" t="s">
        <v>482</v>
      </c>
      <c r="D50" s="323"/>
      <c r="E50" s="381"/>
    </row>
    <row r="51" spans="1:5" x14ac:dyDescent="0.2">
      <c r="A51" s="187"/>
      <c r="B51" s="188"/>
      <c r="C51" s="322"/>
      <c r="D51" s="323"/>
      <c r="E51" s="380"/>
    </row>
    <row r="52" spans="1:5" ht="15" x14ac:dyDescent="0.2">
      <c r="A52" s="187"/>
      <c r="B52" s="188"/>
      <c r="C52" s="337" t="s">
        <v>483</v>
      </c>
      <c r="D52" s="338"/>
      <c r="E52" s="380"/>
    </row>
    <row r="53" spans="1:5" ht="15" x14ac:dyDescent="0.2">
      <c r="A53" s="187"/>
      <c r="B53" s="188"/>
      <c r="C53" s="339"/>
      <c r="D53" s="340"/>
      <c r="E53" s="380"/>
    </row>
    <row r="54" spans="1:5" ht="15" x14ac:dyDescent="0.2">
      <c r="A54" s="187" t="s">
        <v>11</v>
      </c>
      <c r="B54" s="188"/>
      <c r="C54" s="322" t="s">
        <v>748</v>
      </c>
      <c r="D54" s="323"/>
      <c r="E54" s="380"/>
    </row>
    <row r="55" spans="1:5" x14ac:dyDescent="0.2">
      <c r="A55" s="187"/>
      <c r="B55" s="188"/>
      <c r="C55" s="322"/>
      <c r="D55" s="323"/>
      <c r="E55" s="380"/>
    </row>
    <row r="56" spans="1:5" ht="120" x14ac:dyDescent="0.2">
      <c r="A56" s="187" t="s">
        <v>12</v>
      </c>
      <c r="B56" s="188"/>
      <c r="C56" s="339" t="s">
        <v>749</v>
      </c>
      <c r="D56" s="323"/>
      <c r="E56" s="380"/>
    </row>
    <row r="57" spans="1:5" x14ac:dyDescent="0.2">
      <c r="A57" s="187"/>
      <c r="B57" s="188"/>
      <c r="C57" s="322"/>
      <c r="D57" s="323"/>
      <c r="E57" s="380"/>
    </row>
    <row r="58" spans="1:5" ht="60" x14ac:dyDescent="0.2">
      <c r="A58" s="187" t="s">
        <v>13</v>
      </c>
      <c r="B58" s="188"/>
      <c r="C58" s="339" t="s">
        <v>484</v>
      </c>
      <c r="D58" s="323"/>
      <c r="E58" s="380"/>
    </row>
    <row r="59" spans="1:5" x14ac:dyDescent="0.2">
      <c r="A59" s="187"/>
      <c r="B59" s="188"/>
      <c r="C59" s="322"/>
      <c r="D59" s="323"/>
      <c r="E59" s="380"/>
    </row>
    <row r="60" spans="1:5" ht="42.75" x14ac:dyDescent="0.2">
      <c r="A60" s="187" t="s">
        <v>14</v>
      </c>
      <c r="B60" s="188"/>
      <c r="C60" s="322" t="s">
        <v>485</v>
      </c>
      <c r="D60" s="323"/>
      <c r="E60" s="380"/>
    </row>
    <row r="61" spans="1:5" ht="71.25" x14ac:dyDescent="0.2">
      <c r="A61" s="187"/>
      <c r="B61" s="188"/>
      <c r="C61" s="322" t="s">
        <v>486</v>
      </c>
      <c r="D61" s="323"/>
      <c r="E61" s="380"/>
    </row>
    <row r="62" spans="1:5" x14ac:dyDescent="0.2">
      <c r="A62" s="187"/>
      <c r="B62" s="188"/>
      <c r="C62" s="311"/>
      <c r="D62" s="188"/>
      <c r="E62" s="380"/>
    </row>
    <row r="63" spans="1:5" x14ac:dyDescent="0.2">
      <c r="A63" s="187"/>
      <c r="B63" s="188"/>
      <c r="C63" s="311"/>
      <c r="D63" s="188"/>
      <c r="E63" s="380"/>
    </row>
    <row r="64" spans="1:5" x14ac:dyDescent="0.2">
      <c r="A64" s="187"/>
      <c r="B64" s="188"/>
      <c r="C64" s="311"/>
      <c r="D64" s="188"/>
      <c r="E64" s="380"/>
    </row>
    <row r="65" spans="1:5" x14ac:dyDescent="0.2">
      <c r="A65" s="187"/>
      <c r="B65" s="188"/>
      <c r="C65" s="311"/>
      <c r="D65" s="188"/>
      <c r="E65" s="380"/>
    </row>
    <row r="66" spans="1:5" x14ac:dyDescent="0.2">
      <c r="A66" s="187"/>
      <c r="B66" s="188"/>
      <c r="C66" s="311"/>
      <c r="D66" s="188"/>
      <c r="E66" s="380"/>
    </row>
    <row r="67" spans="1:5" x14ac:dyDescent="0.2">
      <c r="A67" s="187"/>
      <c r="B67" s="188"/>
      <c r="C67" s="311"/>
      <c r="D67" s="188"/>
      <c r="E67" s="380"/>
    </row>
    <row r="68" spans="1:5" x14ac:dyDescent="0.2">
      <c r="A68" s="187"/>
      <c r="B68" s="188"/>
      <c r="C68" s="311"/>
      <c r="D68" s="188"/>
      <c r="E68" s="380"/>
    </row>
    <row r="69" spans="1:5" x14ac:dyDescent="0.2">
      <c r="A69" s="187"/>
      <c r="B69" s="188"/>
      <c r="C69" s="311"/>
      <c r="D69" s="188"/>
      <c r="E69" s="380"/>
    </row>
    <row r="70" spans="1:5" x14ac:dyDescent="0.2">
      <c r="A70" s="187"/>
      <c r="B70" s="188"/>
      <c r="C70" s="311"/>
      <c r="D70" s="188"/>
      <c r="E70" s="380"/>
    </row>
    <row r="71" spans="1:5" x14ac:dyDescent="0.2">
      <c r="A71" s="187"/>
      <c r="B71" s="188"/>
      <c r="C71" s="311"/>
      <c r="D71" s="188"/>
      <c r="E71" s="380"/>
    </row>
    <row r="72" spans="1:5" x14ac:dyDescent="0.2">
      <c r="A72" s="187"/>
      <c r="B72" s="188"/>
      <c r="C72" s="311"/>
      <c r="D72" s="188"/>
      <c r="E72" s="380"/>
    </row>
    <row r="73" spans="1:5" x14ac:dyDescent="0.2">
      <c r="A73" s="193"/>
      <c r="B73" s="196"/>
      <c r="C73" s="313"/>
      <c r="D73" s="196"/>
      <c r="E73" s="382"/>
    </row>
    <row r="74" spans="1:5" ht="15" x14ac:dyDescent="0.25">
      <c r="A74" s="197"/>
      <c r="B74" s="188"/>
      <c r="C74" s="166"/>
      <c r="D74" s="166"/>
      <c r="E74" s="330"/>
    </row>
    <row r="75" spans="1:5" ht="15.75" thickBot="1" x14ac:dyDescent="0.3">
      <c r="A75" s="190"/>
      <c r="B75" s="188"/>
      <c r="C75" s="164" t="s">
        <v>6</v>
      </c>
      <c r="D75" s="164"/>
      <c r="E75" s="331">
        <f>SUM(E46:E74)</f>
        <v>0</v>
      </c>
    </row>
    <row r="76" spans="1:5" ht="15.75" thickTop="1" x14ac:dyDescent="0.25">
      <c r="A76" s="190"/>
      <c r="B76" s="188"/>
      <c r="C76" s="311"/>
      <c r="D76" s="188"/>
      <c r="E76" s="341"/>
    </row>
    <row r="77" spans="1:5" ht="15" x14ac:dyDescent="0.25">
      <c r="A77" s="309"/>
      <c r="B77" s="159"/>
      <c r="C77" s="159"/>
      <c r="D77" s="160"/>
      <c r="E77" s="319"/>
    </row>
    <row r="78" spans="1:5" ht="15" x14ac:dyDescent="0.25">
      <c r="A78" s="161"/>
      <c r="B78" s="162"/>
      <c r="C78" s="162" t="s">
        <v>0</v>
      </c>
      <c r="D78" s="162"/>
      <c r="E78" s="320" t="s">
        <v>5</v>
      </c>
    </row>
    <row r="79" spans="1:5" ht="15" x14ac:dyDescent="0.25">
      <c r="A79" s="1"/>
      <c r="B79" s="160"/>
      <c r="C79" s="301"/>
      <c r="D79" s="301"/>
      <c r="E79" s="321"/>
    </row>
    <row r="80" spans="1:5" ht="20.45" customHeight="1" x14ac:dyDescent="0.25">
      <c r="A80" s="1"/>
      <c r="B80" s="160"/>
      <c r="C80" s="337" t="s">
        <v>487</v>
      </c>
      <c r="D80" s="338"/>
      <c r="E80" s="324"/>
    </row>
    <row r="81" spans="1:5" ht="15" x14ac:dyDescent="0.25">
      <c r="A81" s="1"/>
      <c r="B81" s="160"/>
      <c r="C81" s="339"/>
      <c r="D81" s="340"/>
      <c r="E81" s="324"/>
    </row>
    <row r="82" spans="1:5" ht="42.75" customHeight="1" x14ac:dyDescent="0.25">
      <c r="A82" s="1" t="s">
        <v>9</v>
      </c>
      <c r="B82" s="160"/>
      <c r="C82" s="322" t="s">
        <v>750</v>
      </c>
      <c r="D82" s="323"/>
      <c r="E82" s="324"/>
    </row>
    <row r="83" spans="1:5" ht="15" x14ac:dyDescent="0.25">
      <c r="A83" s="1"/>
      <c r="B83" s="160"/>
      <c r="C83" s="322"/>
      <c r="D83" s="323"/>
      <c r="E83" s="324"/>
    </row>
    <row r="84" spans="1:5" ht="90.6" customHeight="1" x14ac:dyDescent="0.25">
      <c r="A84" s="1" t="s">
        <v>10</v>
      </c>
      <c r="B84" s="160"/>
      <c r="C84" s="342" t="s">
        <v>488</v>
      </c>
      <c r="D84" s="323"/>
      <c r="E84" s="324"/>
    </row>
    <row r="85" spans="1:5" ht="42.75" x14ac:dyDescent="0.25">
      <c r="A85" s="1"/>
      <c r="B85" s="160"/>
      <c r="C85" s="322" t="s">
        <v>489</v>
      </c>
      <c r="D85" s="323"/>
      <c r="E85" s="324"/>
    </row>
    <row r="86" spans="1:5" ht="15" x14ac:dyDescent="0.25">
      <c r="A86" s="1"/>
      <c r="B86" s="160"/>
      <c r="C86" s="322"/>
      <c r="D86" s="323"/>
      <c r="E86" s="324"/>
    </row>
    <row r="87" spans="1:5" ht="57" x14ac:dyDescent="0.25">
      <c r="A87" s="1" t="s">
        <v>11</v>
      </c>
      <c r="B87" s="160"/>
      <c r="C87" s="322" t="s">
        <v>490</v>
      </c>
      <c r="D87" s="323"/>
      <c r="E87" s="324"/>
    </row>
    <row r="88" spans="1:5" ht="15" x14ac:dyDescent="0.25">
      <c r="A88" s="1"/>
      <c r="B88" s="160"/>
      <c r="C88" s="322"/>
      <c r="D88" s="323"/>
      <c r="E88" s="324"/>
    </row>
    <row r="89" spans="1:5" ht="46.9" customHeight="1" x14ac:dyDescent="0.25">
      <c r="A89" s="1" t="s">
        <v>12</v>
      </c>
      <c r="B89" s="160"/>
      <c r="C89" s="339" t="s">
        <v>491</v>
      </c>
      <c r="D89" s="323"/>
      <c r="E89" s="324"/>
    </row>
    <row r="90" spans="1:5" ht="15" x14ac:dyDescent="0.25">
      <c r="A90" s="1"/>
      <c r="B90" s="160"/>
      <c r="C90" s="322"/>
      <c r="D90" s="323"/>
      <c r="E90" s="324"/>
    </row>
    <row r="91" spans="1:5" ht="15" x14ac:dyDescent="0.25">
      <c r="A91" s="1"/>
      <c r="B91" s="160"/>
      <c r="C91" s="337" t="s">
        <v>492</v>
      </c>
      <c r="D91" s="338"/>
      <c r="E91" s="324"/>
    </row>
    <row r="92" spans="1:5" ht="15" x14ac:dyDescent="0.2">
      <c r="A92" s="4"/>
      <c r="B92" s="299"/>
      <c r="C92" s="339"/>
      <c r="D92" s="340"/>
      <c r="E92" s="373"/>
    </row>
    <row r="93" spans="1:5" ht="114" x14ac:dyDescent="0.2">
      <c r="A93" s="4" t="s">
        <v>13</v>
      </c>
      <c r="B93" s="299"/>
      <c r="C93" s="322" t="s">
        <v>493</v>
      </c>
      <c r="D93" s="323"/>
      <c r="E93" s="373"/>
    </row>
    <row r="94" spans="1:5" x14ac:dyDescent="0.2">
      <c r="A94" s="4"/>
      <c r="B94" s="299"/>
      <c r="C94" s="322"/>
      <c r="D94" s="323"/>
      <c r="E94" s="373"/>
    </row>
    <row r="95" spans="1:5" ht="88.5" customHeight="1" x14ac:dyDescent="0.2">
      <c r="A95" s="4" t="s">
        <v>14</v>
      </c>
      <c r="B95" s="299"/>
      <c r="C95" s="343" t="s">
        <v>494</v>
      </c>
      <c r="D95" s="344"/>
      <c r="E95" s="373"/>
    </row>
    <row r="96" spans="1:5" x14ac:dyDescent="0.2">
      <c r="A96" s="4"/>
      <c r="B96" s="299"/>
      <c r="C96" s="345"/>
      <c r="D96" s="344"/>
      <c r="E96" s="373"/>
    </row>
    <row r="97" spans="1:5" x14ac:dyDescent="0.2">
      <c r="A97" s="4"/>
      <c r="B97" s="299"/>
      <c r="C97" s="345"/>
      <c r="D97" s="344"/>
      <c r="E97" s="373"/>
    </row>
    <row r="98" spans="1:5" x14ac:dyDescent="0.2">
      <c r="A98" s="4"/>
      <c r="B98" s="299"/>
      <c r="C98" s="345"/>
      <c r="D98" s="344"/>
      <c r="E98" s="373"/>
    </row>
    <row r="99" spans="1:5" x14ac:dyDescent="0.2">
      <c r="A99" s="4"/>
      <c r="B99" s="299"/>
      <c r="C99" s="345"/>
      <c r="D99" s="344"/>
      <c r="E99" s="373"/>
    </row>
    <row r="100" spans="1:5" x14ac:dyDescent="0.2">
      <c r="A100" s="4"/>
      <c r="B100" s="299"/>
      <c r="C100" s="345"/>
      <c r="D100" s="344"/>
      <c r="E100" s="373"/>
    </row>
    <row r="101" spans="1:5" x14ac:dyDescent="0.2">
      <c r="A101" s="4"/>
      <c r="B101" s="299"/>
      <c r="C101" s="307"/>
      <c r="D101" s="307"/>
      <c r="E101" s="373"/>
    </row>
    <row r="102" spans="1:5" x14ac:dyDescent="0.2">
      <c r="A102" s="161"/>
      <c r="B102" s="157"/>
      <c r="C102" s="157"/>
      <c r="D102" s="157"/>
      <c r="E102" s="329"/>
    </row>
    <row r="103" spans="1:5" ht="15" x14ac:dyDescent="0.25">
      <c r="A103" s="197"/>
      <c r="B103" s="188"/>
      <c r="C103" s="166"/>
      <c r="D103" s="166"/>
      <c r="E103" s="330"/>
    </row>
    <row r="104" spans="1:5" ht="15.75" thickBot="1" x14ac:dyDescent="0.3">
      <c r="A104" s="190"/>
      <c r="B104" s="188"/>
      <c r="C104" s="164" t="s">
        <v>6</v>
      </c>
      <c r="D104" s="164"/>
      <c r="E104" s="331">
        <f>SUM(E81:E103)</f>
        <v>0</v>
      </c>
    </row>
    <row r="105" spans="1:5" ht="15" thickTop="1" x14ac:dyDescent="0.2">
      <c r="E105" s="346"/>
    </row>
    <row r="106" spans="1:5" x14ac:dyDescent="0.2">
      <c r="D106" s="157"/>
      <c r="E106" s="318"/>
    </row>
    <row r="107" spans="1:5" ht="15" x14ac:dyDescent="0.25">
      <c r="A107" s="309"/>
      <c r="B107" s="159"/>
      <c r="C107" s="159"/>
      <c r="D107" s="160"/>
      <c r="E107" s="321"/>
    </row>
    <row r="108" spans="1:5" ht="15" x14ac:dyDescent="0.25">
      <c r="A108" s="161"/>
      <c r="B108" s="162"/>
      <c r="C108" s="162" t="s">
        <v>0</v>
      </c>
      <c r="D108" s="162"/>
      <c r="E108" s="320" t="s">
        <v>5</v>
      </c>
    </row>
    <row r="109" spans="1:5" ht="15" x14ac:dyDescent="0.25">
      <c r="A109" s="1"/>
      <c r="B109" s="160"/>
      <c r="C109" s="160"/>
      <c r="D109" s="160"/>
      <c r="E109" s="321"/>
    </row>
    <row r="110" spans="1:5" ht="61.15" customHeight="1" x14ac:dyDescent="0.25">
      <c r="A110" s="1" t="s">
        <v>9</v>
      </c>
      <c r="B110" s="160"/>
      <c r="C110" s="347" t="s">
        <v>495</v>
      </c>
      <c r="D110" s="323"/>
      <c r="E110" s="321"/>
    </row>
    <row r="111" spans="1:5" ht="15" x14ac:dyDescent="0.25">
      <c r="A111" s="1"/>
      <c r="B111" s="160"/>
      <c r="C111" s="339"/>
      <c r="D111" s="340"/>
      <c r="E111" s="324"/>
    </row>
    <row r="112" spans="1:5" ht="15" x14ac:dyDescent="0.25">
      <c r="A112" s="1"/>
      <c r="B112" s="160"/>
      <c r="C112" s="348" t="s">
        <v>496</v>
      </c>
      <c r="D112" s="340"/>
      <c r="E112" s="324"/>
    </row>
    <row r="113" spans="1:5" ht="15" x14ac:dyDescent="0.25">
      <c r="A113" s="1"/>
      <c r="B113" s="160"/>
      <c r="C113" s="347" t="s">
        <v>497</v>
      </c>
      <c r="D113" s="340"/>
      <c r="E113" s="324"/>
    </row>
    <row r="114" spans="1:5" ht="15" x14ac:dyDescent="0.25">
      <c r="A114" s="1"/>
      <c r="B114" s="160"/>
      <c r="C114" s="347" t="s">
        <v>498</v>
      </c>
      <c r="D114" s="323"/>
      <c r="E114" s="324"/>
    </row>
    <row r="115" spans="1:5" ht="15" x14ac:dyDescent="0.25">
      <c r="A115" s="1"/>
      <c r="B115" s="160"/>
      <c r="C115" s="347" t="s">
        <v>499</v>
      </c>
      <c r="D115" s="323"/>
      <c r="E115" s="324"/>
    </row>
    <row r="116" spans="1:5" ht="15" x14ac:dyDescent="0.25">
      <c r="A116" s="1"/>
      <c r="B116" s="160"/>
      <c r="C116" s="347" t="s">
        <v>500</v>
      </c>
      <c r="D116" s="323"/>
      <c r="E116" s="324"/>
    </row>
    <row r="117" spans="1:5" ht="15" x14ac:dyDescent="0.25">
      <c r="A117" s="1"/>
      <c r="B117" s="160"/>
      <c r="C117" s="347" t="s">
        <v>501</v>
      </c>
      <c r="D117" s="323"/>
      <c r="E117" s="324"/>
    </row>
    <row r="118" spans="1:5" ht="15" x14ac:dyDescent="0.25">
      <c r="A118" s="1"/>
      <c r="B118" s="160"/>
      <c r="C118" s="347" t="s">
        <v>502</v>
      </c>
      <c r="D118" s="323"/>
      <c r="E118" s="324"/>
    </row>
    <row r="119" spans="1:5" ht="28.5" x14ac:dyDescent="0.25">
      <c r="A119" s="1"/>
      <c r="B119" s="160"/>
      <c r="C119" s="347" t="s">
        <v>503</v>
      </c>
      <c r="D119" s="323"/>
      <c r="E119" s="324"/>
    </row>
    <row r="120" spans="1:5" ht="15" x14ac:dyDescent="0.25">
      <c r="A120" s="1"/>
      <c r="B120" s="160"/>
      <c r="C120" s="347" t="s">
        <v>504</v>
      </c>
      <c r="D120" s="340"/>
      <c r="E120" s="324"/>
    </row>
    <row r="121" spans="1:5" ht="15" x14ac:dyDescent="0.25">
      <c r="A121" s="1"/>
      <c r="B121" s="160"/>
      <c r="C121" s="347" t="s">
        <v>505</v>
      </c>
      <c r="D121" s="340"/>
      <c r="E121" s="324"/>
    </row>
    <row r="122" spans="1:5" ht="28.5" x14ac:dyDescent="0.25">
      <c r="A122" s="1"/>
      <c r="B122" s="160"/>
      <c r="C122" s="347" t="s">
        <v>506</v>
      </c>
      <c r="D122" s="323"/>
      <c r="E122" s="324"/>
    </row>
    <row r="123" spans="1:5" x14ac:dyDescent="0.2">
      <c r="A123" s="4"/>
      <c r="B123" s="299"/>
      <c r="C123" s="347" t="s">
        <v>507</v>
      </c>
      <c r="D123" s="323"/>
      <c r="E123" s="373"/>
    </row>
    <row r="124" spans="1:5" ht="28.5" x14ac:dyDescent="0.2">
      <c r="A124" s="4"/>
      <c r="B124" s="299"/>
      <c r="C124" s="347" t="s">
        <v>508</v>
      </c>
      <c r="D124" s="323"/>
      <c r="E124" s="373"/>
    </row>
    <row r="125" spans="1:5" x14ac:dyDescent="0.2">
      <c r="A125" s="4"/>
      <c r="B125" s="299"/>
      <c r="C125" s="347" t="s">
        <v>509</v>
      </c>
      <c r="D125" s="323"/>
      <c r="E125" s="373"/>
    </row>
    <row r="126" spans="1:5" x14ac:dyDescent="0.2">
      <c r="A126" s="4"/>
      <c r="B126" s="299"/>
      <c r="C126" s="347" t="s">
        <v>510</v>
      </c>
      <c r="D126" s="323"/>
      <c r="E126" s="373"/>
    </row>
    <row r="127" spans="1:5" x14ac:dyDescent="0.2">
      <c r="A127" s="4"/>
      <c r="B127" s="299"/>
      <c r="C127" s="300" t="s">
        <v>511</v>
      </c>
      <c r="D127" s="323"/>
      <c r="E127" s="373"/>
    </row>
    <row r="128" spans="1:5" x14ac:dyDescent="0.2">
      <c r="A128" s="4"/>
      <c r="B128" s="299"/>
      <c r="C128" s="300" t="s">
        <v>512</v>
      </c>
      <c r="D128" s="323"/>
      <c r="E128" s="373"/>
    </row>
    <row r="129" spans="1:5" x14ac:dyDescent="0.2">
      <c r="A129" s="4"/>
      <c r="B129" s="299"/>
      <c r="C129" s="300" t="s">
        <v>513</v>
      </c>
      <c r="D129" s="323"/>
      <c r="E129" s="373"/>
    </row>
    <row r="130" spans="1:5" x14ac:dyDescent="0.2">
      <c r="A130" s="4"/>
      <c r="B130" s="299"/>
      <c r="C130" s="300" t="s">
        <v>514</v>
      </c>
      <c r="D130" s="323"/>
      <c r="E130" s="373"/>
    </row>
    <row r="131" spans="1:5" x14ac:dyDescent="0.2">
      <c r="A131" s="4"/>
      <c r="B131" s="299"/>
      <c r="C131" s="300" t="s">
        <v>515</v>
      </c>
      <c r="D131" s="323"/>
      <c r="E131" s="373"/>
    </row>
    <row r="132" spans="1:5" ht="28.5" x14ac:dyDescent="0.2">
      <c r="A132" s="4"/>
      <c r="B132" s="299"/>
      <c r="C132" s="167" t="s">
        <v>516</v>
      </c>
      <c r="D132" s="323"/>
      <c r="E132" s="373"/>
    </row>
    <row r="133" spans="1:5" x14ac:dyDescent="0.2">
      <c r="A133" s="4"/>
      <c r="B133" s="299"/>
      <c r="C133" s="300" t="s">
        <v>517</v>
      </c>
      <c r="D133" s="323"/>
      <c r="E133" s="373"/>
    </row>
    <row r="134" spans="1:5" ht="42.75" x14ac:dyDescent="0.2">
      <c r="A134" s="4"/>
      <c r="B134" s="299"/>
      <c r="C134" s="167" t="s">
        <v>518</v>
      </c>
      <c r="D134" s="323"/>
      <c r="E134" s="373"/>
    </row>
    <row r="135" spans="1:5" ht="28.5" x14ac:dyDescent="0.2">
      <c r="A135" s="4"/>
      <c r="B135" s="299"/>
      <c r="C135" s="167" t="s">
        <v>519</v>
      </c>
      <c r="D135" s="323"/>
      <c r="E135" s="373"/>
    </row>
    <row r="136" spans="1:5" x14ac:dyDescent="0.2">
      <c r="A136" s="4"/>
      <c r="B136" s="299"/>
      <c r="C136" s="300" t="s">
        <v>520</v>
      </c>
      <c r="D136" s="323"/>
      <c r="E136" s="373"/>
    </row>
    <row r="137" spans="1:5" x14ac:dyDescent="0.2">
      <c r="A137" s="4"/>
      <c r="B137" s="299"/>
      <c r="C137" s="300" t="s">
        <v>521</v>
      </c>
      <c r="D137" s="323"/>
      <c r="E137" s="373"/>
    </row>
    <row r="138" spans="1:5" ht="28.5" x14ac:dyDescent="0.2">
      <c r="A138" s="4"/>
      <c r="B138" s="299"/>
      <c r="C138" s="167" t="s">
        <v>522</v>
      </c>
      <c r="D138" s="323"/>
      <c r="E138" s="373"/>
    </row>
    <row r="139" spans="1:5" x14ac:dyDescent="0.2">
      <c r="A139" s="4"/>
      <c r="B139" s="299"/>
      <c r="C139" s="300" t="s">
        <v>523</v>
      </c>
      <c r="D139" s="323"/>
      <c r="E139" s="373"/>
    </row>
    <row r="140" spans="1:5" x14ac:dyDescent="0.2">
      <c r="A140" s="4"/>
      <c r="B140" s="299"/>
      <c r="C140" s="322"/>
      <c r="D140" s="323"/>
      <c r="E140" s="373"/>
    </row>
    <row r="141" spans="1:5" ht="15" x14ac:dyDescent="0.25">
      <c r="A141" s="1"/>
      <c r="B141" s="160"/>
      <c r="C141" s="325"/>
      <c r="D141" s="326"/>
      <c r="E141" s="324"/>
    </row>
    <row r="142" spans="1:5" ht="15" x14ac:dyDescent="0.25">
      <c r="A142" s="1"/>
      <c r="B142" s="160"/>
      <c r="C142" s="325"/>
      <c r="D142" s="326"/>
      <c r="E142" s="324"/>
    </row>
    <row r="143" spans="1:5" ht="15" x14ac:dyDescent="0.25">
      <c r="A143" s="1"/>
      <c r="B143" s="160"/>
      <c r="C143" s="325"/>
      <c r="D143" s="326"/>
      <c r="E143" s="324"/>
    </row>
    <row r="144" spans="1:5" ht="15" x14ac:dyDescent="0.25">
      <c r="A144" s="1"/>
      <c r="B144" s="160"/>
      <c r="C144" s="325"/>
      <c r="D144" s="326"/>
      <c r="E144" s="324"/>
    </row>
    <row r="145" spans="1:5" x14ac:dyDescent="0.2">
      <c r="A145" s="161"/>
      <c r="B145" s="157"/>
      <c r="C145" s="157"/>
      <c r="D145" s="157"/>
      <c r="E145" s="329"/>
    </row>
    <row r="146" spans="1:5" ht="15" x14ac:dyDescent="0.25">
      <c r="A146" s="197"/>
      <c r="B146" s="188"/>
      <c r="C146" s="166"/>
      <c r="D146" s="166"/>
      <c r="E146" s="330"/>
    </row>
    <row r="147" spans="1:5" ht="15.75" thickBot="1" x14ac:dyDescent="0.3">
      <c r="A147" s="190"/>
      <c r="B147" s="188"/>
      <c r="C147" s="164" t="s">
        <v>6</v>
      </c>
      <c r="D147" s="164"/>
      <c r="E147" s="331">
        <f>SUM(E110:E146)</f>
        <v>0</v>
      </c>
    </row>
    <row r="148" spans="1:5" ht="15" thickTop="1" x14ac:dyDescent="0.2">
      <c r="E148" s="346"/>
    </row>
    <row r="149" spans="1:5" x14ac:dyDescent="0.2">
      <c r="D149" s="157"/>
      <c r="E149" s="318"/>
    </row>
    <row r="150" spans="1:5" ht="15" x14ac:dyDescent="0.25">
      <c r="A150" s="309"/>
      <c r="B150" s="159"/>
      <c r="C150" s="159"/>
      <c r="D150" s="160"/>
      <c r="E150" s="319"/>
    </row>
    <row r="151" spans="1:5" ht="15" x14ac:dyDescent="0.25">
      <c r="A151" s="161"/>
      <c r="B151" s="162"/>
      <c r="C151" s="162" t="s">
        <v>0</v>
      </c>
      <c r="D151" s="162"/>
      <c r="E151" s="320" t="s">
        <v>5</v>
      </c>
    </row>
    <row r="152" spans="1:5" ht="15" x14ac:dyDescent="0.25">
      <c r="A152" s="1"/>
      <c r="B152" s="160"/>
      <c r="C152" s="301"/>
      <c r="D152" s="301"/>
      <c r="E152" s="321"/>
    </row>
    <row r="153" spans="1:5" ht="59.25" x14ac:dyDescent="0.25">
      <c r="A153" s="1" t="s">
        <v>9</v>
      </c>
      <c r="B153" s="160"/>
      <c r="C153" s="347" t="s">
        <v>495</v>
      </c>
      <c r="D153" s="349"/>
      <c r="E153" s="324"/>
    </row>
    <row r="154" spans="1:5" ht="15" x14ac:dyDescent="0.25">
      <c r="A154" s="1"/>
      <c r="B154" s="160"/>
      <c r="C154" s="300" t="s">
        <v>524</v>
      </c>
      <c r="D154" s="350"/>
      <c r="E154" s="324"/>
    </row>
    <row r="155" spans="1:5" ht="15" x14ac:dyDescent="0.25">
      <c r="A155" s="1"/>
      <c r="B155" s="160"/>
      <c r="C155" s="300" t="s">
        <v>525</v>
      </c>
      <c r="D155" s="323"/>
      <c r="E155" s="324"/>
    </row>
    <row r="156" spans="1:5" ht="15" x14ac:dyDescent="0.25">
      <c r="A156" s="1"/>
      <c r="B156" s="160"/>
      <c r="C156" s="300" t="s">
        <v>526</v>
      </c>
      <c r="D156" s="326"/>
      <c r="E156" s="324"/>
    </row>
    <row r="157" spans="1:5" ht="15" x14ac:dyDescent="0.25">
      <c r="A157" s="1"/>
      <c r="B157" s="160"/>
      <c r="C157" s="300" t="s">
        <v>527</v>
      </c>
      <c r="D157" s="350"/>
      <c r="E157" s="324"/>
    </row>
    <row r="158" spans="1:5" ht="15" x14ac:dyDescent="0.25">
      <c r="A158" s="1"/>
      <c r="B158" s="160"/>
      <c r="C158" s="300" t="s">
        <v>528</v>
      </c>
      <c r="D158" s="350"/>
      <c r="E158" s="324"/>
    </row>
    <row r="159" spans="1:5" ht="15" x14ac:dyDescent="0.25">
      <c r="A159" s="1"/>
      <c r="B159" s="160"/>
      <c r="C159" s="300" t="s">
        <v>529</v>
      </c>
      <c r="D159" s="326"/>
      <c r="E159" s="324"/>
    </row>
    <row r="160" spans="1:5" ht="15" x14ac:dyDescent="0.25">
      <c r="A160" s="1"/>
      <c r="B160" s="160"/>
      <c r="C160" s="300" t="s">
        <v>530</v>
      </c>
      <c r="D160" s="326"/>
      <c r="E160" s="324"/>
    </row>
    <row r="161" spans="1:5" ht="15" x14ac:dyDescent="0.25">
      <c r="A161" s="1"/>
      <c r="B161" s="160"/>
      <c r="C161" s="300" t="s">
        <v>531</v>
      </c>
      <c r="D161" s="326"/>
      <c r="E161" s="324"/>
    </row>
    <row r="162" spans="1:5" ht="15" x14ac:dyDescent="0.25">
      <c r="A162" s="1"/>
      <c r="B162" s="160"/>
      <c r="C162" s="300" t="s">
        <v>532</v>
      </c>
      <c r="D162" s="326"/>
      <c r="E162" s="324"/>
    </row>
    <row r="163" spans="1:5" ht="15" x14ac:dyDescent="0.25">
      <c r="A163" s="1"/>
      <c r="B163" s="160"/>
      <c r="C163" s="300" t="s">
        <v>533</v>
      </c>
      <c r="D163" s="326"/>
      <c r="E163" s="324"/>
    </row>
    <row r="164" spans="1:5" ht="15" x14ac:dyDescent="0.25">
      <c r="A164" s="1"/>
      <c r="B164" s="160"/>
      <c r="C164" s="301" t="s">
        <v>534</v>
      </c>
      <c r="D164" s="326"/>
      <c r="E164" s="324"/>
    </row>
    <row r="165" spans="1:5" x14ac:dyDescent="0.2">
      <c r="A165" s="4"/>
      <c r="B165" s="299"/>
      <c r="C165" s="300" t="s">
        <v>535</v>
      </c>
      <c r="D165" s="326"/>
      <c r="E165" s="373"/>
    </row>
    <row r="166" spans="1:5" ht="15" x14ac:dyDescent="0.2">
      <c r="A166" s="4"/>
      <c r="B166" s="299"/>
      <c r="C166" s="301" t="s">
        <v>751</v>
      </c>
      <c r="D166" s="326"/>
      <c r="E166" s="373"/>
    </row>
    <row r="167" spans="1:5" x14ac:dyDescent="0.2">
      <c r="A167" s="4"/>
      <c r="B167" s="299"/>
      <c r="C167" s="300" t="s">
        <v>536</v>
      </c>
      <c r="D167" s="326"/>
      <c r="E167" s="373"/>
    </row>
    <row r="168" spans="1:5" x14ac:dyDescent="0.2">
      <c r="A168" s="4"/>
      <c r="B168" s="299"/>
      <c r="C168" s="300" t="s">
        <v>537</v>
      </c>
      <c r="D168" s="326"/>
      <c r="E168" s="373"/>
    </row>
    <row r="169" spans="1:5" ht="15" x14ac:dyDescent="0.25">
      <c r="A169" s="1"/>
      <c r="B169" s="160"/>
      <c r="C169" s="301" t="s">
        <v>538</v>
      </c>
      <c r="D169" s="326"/>
      <c r="E169" s="324"/>
    </row>
    <row r="170" spans="1:5" x14ac:dyDescent="0.2">
      <c r="A170" s="4"/>
      <c r="B170" s="299"/>
      <c r="C170" s="325"/>
      <c r="D170" s="326"/>
      <c r="E170" s="373"/>
    </row>
    <row r="171" spans="1:5" ht="15" x14ac:dyDescent="0.25">
      <c r="A171" s="1"/>
      <c r="B171" s="160"/>
      <c r="C171" s="325"/>
      <c r="D171" s="326"/>
      <c r="E171" s="324"/>
    </row>
    <row r="172" spans="1:5" ht="15" x14ac:dyDescent="0.25">
      <c r="A172" s="1"/>
      <c r="B172" s="160"/>
      <c r="C172" s="325"/>
      <c r="D172" s="326"/>
      <c r="E172" s="324"/>
    </row>
    <row r="173" spans="1:5" ht="15" x14ac:dyDescent="0.25">
      <c r="A173" s="1"/>
      <c r="B173" s="160"/>
      <c r="C173" s="325"/>
      <c r="D173" s="326"/>
      <c r="E173" s="324"/>
    </row>
    <row r="174" spans="1:5" ht="15" x14ac:dyDescent="0.25">
      <c r="A174" s="1"/>
      <c r="B174" s="160"/>
      <c r="C174" s="325"/>
      <c r="D174" s="326"/>
      <c r="E174" s="324"/>
    </row>
    <row r="175" spans="1:5" ht="15" x14ac:dyDescent="0.25">
      <c r="A175" s="1"/>
      <c r="B175" s="160"/>
      <c r="C175" s="325"/>
      <c r="D175" s="326"/>
      <c r="E175" s="324"/>
    </row>
    <row r="176" spans="1:5" ht="15" x14ac:dyDescent="0.25">
      <c r="A176" s="1"/>
      <c r="B176" s="160"/>
      <c r="C176" s="325"/>
      <c r="D176" s="326"/>
      <c r="E176" s="324"/>
    </row>
    <row r="177" spans="1:5" ht="15" x14ac:dyDescent="0.25">
      <c r="A177" s="1"/>
      <c r="B177" s="160"/>
      <c r="C177" s="325"/>
      <c r="D177" s="326"/>
      <c r="E177" s="324"/>
    </row>
    <row r="178" spans="1:5" ht="15" x14ac:dyDescent="0.25">
      <c r="A178" s="1"/>
      <c r="B178" s="160"/>
      <c r="C178" s="325"/>
      <c r="D178" s="326"/>
      <c r="E178" s="324"/>
    </row>
    <row r="179" spans="1:5" ht="15" x14ac:dyDescent="0.25">
      <c r="A179" s="1"/>
      <c r="B179" s="160"/>
      <c r="C179" s="325"/>
      <c r="D179" s="326"/>
      <c r="E179" s="324"/>
    </row>
    <row r="180" spans="1:5" ht="15" x14ac:dyDescent="0.25">
      <c r="A180" s="1"/>
      <c r="B180" s="160"/>
      <c r="C180" s="325"/>
      <c r="D180" s="326"/>
      <c r="E180" s="324"/>
    </row>
    <row r="181" spans="1:5" ht="15" x14ac:dyDescent="0.25">
      <c r="A181" s="1"/>
      <c r="B181" s="160"/>
      <c r="C181" s="325"/>
      <c r="D181" s="326"/>
      <c r="E181" s="324"/>
    </row>
    <row r="182" spans="1:5" ht="15" x14ac:dyDescent="0.25">
      <c r="A182" s="1"/>
      <c r="B182" s="160"/>
      <c r="C182" s="325"/>
      <c r="D182" s="326"/>
      <c r="E182" s="324"/>
    </row>
    <row r="183" spans="1:5" ht="15" x14ac:dyDescent="0.25">
      <c r="A183" s="1"/>
      <c r="B183" s="160"/>
      <c r="C183" s="325"/>
      <c r="D183" s="326"/>
      <c r="E183" s="324"/>
    </row>
    <row r="184" spans="1:5" ht="7.35" customHeight="1" x14ac:dyDescent="0.25">
      <c r="A184" s="1"/>
      <c r="B184" s="160"/>
      <c r="C184" s="325"/>
      <c r="D184" s="326"/>
      <c r="E184" s="324"/>
    </row>
    <row r="185" spans="1:5" ht="15" x14ac:dyDescent="0.25">
      <c r="A185" s="1"/>
      <c r="B185" s="160"/>
      <c r="C185" s="325"/>
      <c r="D185" s="326"/>
      <c r="E185" s="324"/>
    </row>
    <row r="186" spans="1:5" ht="15" x14ac:dyDescent="0.25">
      <c r="A186" s="1"/>
      <c r="B186" s="160"/>
      <c r="C186" s="325"/>
      <c r="D186" s="326"/>
      <c r="E186" s="324"/>
    </row>
    <row r="187" spans="1:5" ht="15" x14ac:dyDescent="0.25">
      <c r="A187" s="1"/>
      <c r="B187" s="160"/>
      <c r="C187" s="325"/>
      <c r="D187" s="326"/>
      <c r="E187" s="324"/>
    </row>
    <row r="188" spans="1:5" ht="15" x14ac:dyDescent="0.25">
      <c r="A188" s="1"/>
      <c r="B188" s="160"/>
      <c r="C188" s="325"/>
      <c r="D188" s="326"/>
      <c r="E188" s="324"/>
    </row>
    <row r="189" spans="1:5" ht="15" x14ac:dyDescent="0.25">
      <c r="A189" s="1"/>
      <c r="B189" s="160"/>
      <c r="C189" s="325"/>
      <c r="D189" s="326"/>
      <c r="E189" s="324"/>
    </row>
    <row r="190" spans="1:5" ht="15" x14ac:dyDescent="0.25">
      <c r="A190" s="1"/>
      <c r="B190" s="160"/>
      <c r="C190" s="325"/>
      <c r="D190" s="326"/>
      <c r="E190" s="324"/>
    </row>
    <row r="191" spans="1:5" ht="15" x14ac:dyDescent="0.25">
      <c r="A191" s="1"/>
      <c r="B191" s="160"/>
      <c r="C191" s="325"/>
      <c r="D191" s="326"/>
      <c r="E191" s="324"/>
    </row>
    <row r="192" spans="1:5" ht="15" x14ac:dyDescent="0.25">
      <c r="A192" s="1"/>
      <c r="B192" s="160"/>
      <c r="C192" s="325"/>
      <c r="D192" s="326"/>
      <c r="E192" s="324"/>
    </row>
    <row r="193" spans="1:5" ht="15" x14ac:dyDescent="0.25">
      <c r="A193" s="1"/>
      <c r="B193" s="160"/>
      <c r="C193" s="325"/>
      <c r="D193" s="326"/>
      <c r="E193" s="324"/>
    </row>
    <row r="194" spans="1:5" x14ac:dyDescent="0.2">
      <c r="A194" s="4"/>
      <c r="B194" s="299"/>
      <c r="C194" s="325"/>
      <c r="D194" s="326"/>
      <c r="E194" s="373"/>
    </row>
    <row r="195" spans="1:5" x14ac:dyDescent="0.2">
      <c r="A195" s="4"/>
      <c r="B195" s="299"/>
      <c r="C195" s="325"/>
      <c r="D195" s="326"/>
      <c r="E195" s="373"/>
    </row>
    <row r="196" spans="1:5" x14ac:dyDescent="0.2">
      <c r="A196" s="4"/>
      <c r="B196" s="299"/>
      <c r="C196" s="325"/>
      <c r="D196" s="326"/>
      <c r="E196" s="373"/>
    </row>
    <row r="197" spans="1:5" x14ac:dyDescent="0.2">
      <c r="A197" s="4"/>
      <c r="B197" s="299"/>
      <c r="C197" s="325"/>
      <c r="D197" s="326"/>
      <c r="E197" s="324"/>
    </row>
    <row r="198" spans="1:5" x14ac:dyDescent="0.2">
      <c r="A198" s="161"/>
      <c r="B198" s="157"/>
      <c r="C198" s="157"/>
      <c r="D198" s="157"/>
      <c r="E198" s="329"/>
    </row>
    <row r="199" spans="1:5" ht="15" x14ac:dyDescent="0.25">
      <c r="A199" s="197"/>
      <c r="B199" s="188"/>
      <c r="C199" s="166"/>
      <c r="D199" s="166"/>
      <c r="E199" s="330"/>
    </row>
    <row r="200" spans="1:5" ht="15.75" thickBot="1" x14ac:dyDescent="0.3">
      <c r="A200" s="190"/>
      <c r="B200" s="188"/>
      <c r="C200" s="164" t="s">
        <v>6</v>
      </c>
      <c r="D200" s="164"/>
      <c r="E200" s="331">
        <f>SUM(E153:E199)</f>
        <v>0</v>
      </c>
    </row>
    <row r="201" spans="1:5" ht="15" thickTop="1" x14ac:dyDescent="0.2"/>
    <row r="202" spans="1:5" x14ac:dyDescent="0.2">
      <c r="D202" s="157"/>
      <c r="E202" s="318"/>
    </row>
    <row r="203" spans="1:5" ht="15" x14ac:dyDescent="0.25">
      <c r="A203" s="309"/>
      <c r="B203" s="159"/>
      <c r="C203" s="159"/>
      <c r="D203" s="160"/>
      <c r="E203" s="319"/>
    </row>
    <row r="204" spans="1:5" ht="15" x14ac:dyDescent="0.25">
      <c r="A204" s="161"/>
      <c r="B204" s="162"/>
      <c r="C204" s="162" t="s">
        <v>0</v>
      </c>
      <c r="D204" s="162"/>
      <c r="E204" s="320" t="s">
        <v>5</v>
      </c>
    </row>
    <row r="205" spans="1:5" ht="15" x14ac:dyDescent="0.25">
      <c r="A205" s="1"/>
      <c r="B205" s="160"/>
      <c r="C205" s="301"/>
      <c r="D205" s="301"/>
      <c r="E205" s="321"/>
    </row>
    <row r="206" spans="1:5" ht="23.45" customHeight="1" x14ac:dyDescent="0.25">
      <c r="A206" s="1"/>
      <c r="B206" s="160"/>
      <c r="C206" s="337" t="s">
        <v>539</v>
      </c>
      <c r="D206" s="338"/>
      <c r="E206" s="324"/>
    </row>
    <row r="207" spans="1:5" ht="15" x14ac:dyDescent="0.25">
      <c r="A207" s="1"/>
      <c r="B207" s="160"/>
      <c r="C207" s="339"/>
      <c r="D207" s="340"/>
      <c r="E207" s="324"/>
    </row>
    <row r="208" spans="1:5" ht="15" x14ac:dyDescent="0.25">
      <c r="A208" s="1" t="s">
        <v>540</v>
      </c>
      <c r="B208" s="160"/>
      <c r="C208" s="322" t="s">
        <v>541</v>
      </c>
      <c r="D208" s="323"/>
      <c r="E208" s="324"/>
    </row>
    <row r="209" spans="1:5" ht="15" x14ac:dyDescent="0.25">
      <c r="A209" s="1"/>
      <c r="B209" s="160"/>
      <c r="C209" s="322" t="s">
        <v>542</v>
      </c>
      <c r="D209" s="323"/>
      <c r="E209" s="324"/>
    </row>
    <row r="210" spans="1:5" ht="15" x14ac:dyDescent="0.25">
      <c r="A210" s="1"/>
      <c r="B210" s="160"/>
      <c r="C210" s="322"/>
      <c r="D210" s="323"/>
      <c r="E210" s="324"/>
    </row>
    <row r="211" spans="1:5" ht="15" x14ac:dyDescent="0.25">
      <c r="A211" s="1"/>
      <c r="B211" s="160"/>
      <c r="C211" s="322" t="s">
        <v>543</v>
      </c>
      <c r="D211" s="323"/>
      <c r="E211" s="324"/>
    </row>
    <row r="212" spans="1:5" ht="15" x14ac:dyDescent="0.25">
      <c r="A212" s="1"/>
      <c r="B212" s="160"/>
      <c r="C212" s="322" t="s">
        <v>544</v>
      </c>
      <c r="D212" s="323"/>
      <c r="E212" s="324"/>
    </row>
    <row r="213" spans="1:5" ht="15" x14ac:dyDescent="0.25">
      <c r="A213" s="1"/>
      <c r="B213" s="160"/>
      <c r="C213" s="322" t="s">
        <v>545</v>
      </c>
      <c r="D213" s="323"/>
      <c r="E213" s="324"/>
    </row>
    <row r="214" spans="1:5" ht="15" x14ac:dyDescent="0.25">
      <c r="A214" s="1"/>
      <c r="B214" s="160"/>
      <c r="C214" s="322" t="s">
        <v>546</v>
      </c>
      <c r="D214" s="323"/>
      <c r="E214" s="324"/>
    </row>
    <row r="215" spans="1:5" ht="15" x14ac:dyDescent="0.25">
      <c r="A215" s="1"/>
      <c r="B215" s="160"/>
      <c r="C215" s="322" t="s">
        <v>547</v>
      </c>
      <c r="D215" s="323"/>
      <c r="E215" s="324"/>
    </row>
    <row r="216" spans="1:5" ht="15" x14ac:dyDescent="0.25">
      <c r="A216" s="1"/>
      <c r="B216" s="160"/>
      <c r="C216" s="322" t="s">
        <v>548</v>
      </c>
      <c r="D216" s="323"/>
      <c r="E216" s="324"/>
    </row>
    <row r="217" spans="1:5" ht="15" x14ac:dyDescent="0.25">
      <c r="A217" s="1"/>
      <c r="B217" s="160"/>
      <c r="C217" s="322"/>
      <c r="D217" s="323"/>
      <c r="E217" s="324"/>
    </row>
    <row r="218" spans="1:5" ht="42.75" x14ac:dyDescent="0.2">
      <c r="A218" s="4" t="s">
        <v>549</v>
      </c>
      <c r="B218" s="299"/>
      <c r="C218" s="322" t="s">
        <v>550</v>
      </c>
      <c r="D218" s="323"/>
      <c r="E218" s="373"/>
    </row>
    <row r="219" spans="1:5" x14ac:dyDescent="0.2">
      <c r="A219" s="4"/>
      <c r="B219" s="299"/>
      <c r="C219" s="322"/>
      <c r="D219" s="323"/>
      <c r="E219" s="373"/>
    </row>
    <row r="220" spans="1:5" ht="42.75" x14ac:dyDescent="0.2">
      <c r="A220" s="4" t="s">
        <v>11</v>
      </c>
      <c r="B220" s="299"/>
      <c r="C220" s="322" t="s">
        <v>551</v>
      </c>
      <c r="D220" s="323"/>
      <c r="E220" s="373"/>
    </row>
    <row r="221" spans="1:5" x14ac:dyDescent="0.2">
      <c r="A221" s="4"/>
      <c r="B221" s="299"/>
      <c r="C221" s="322"/>
      <c r="D221" s="323"/>
      <c r="E221" s="373"/>
    </row>
    <row r="222" spans="1:5" ht="29.25" x14ac:dyDescent="0.25">
      <c r="A222" s="1" t="s">
        <v>12</v>
      </c>
      <c r="B222" s="160"/>
      <c r="C222" s="322" t="s">
        <v>552</v>
      </c>
      <c r="D222" s="323"/>
      <c r="E222" s="324"/>
    </row>
    <row r="223" spans="1:5" x14ac:dyDescent="0.2">
      <c r="A223" s="4"/>
      <c r="B223" s="299"/>
      <c r="C223" s="322"/>
      <c r="D223" s="323"/>
      <c r="E223" s="373"/>
    </row>
    <row r="224" spans="1:5" ht="15" x14ac:dyDescent="0.25">
      <c r="A224" s="1"/>
      <c r="B224" s="160"/>
      <c r="C224" s="337" t="s">
        <v>553</v>
      </c>
      <c r="D224" s="338"/>
      <c r="E224" s="324"/>
    </row>
    <row r="225" spans="1:5" ht="15" x14ac:dyDescent="0.25">
      <c r="A225" s="1"/>
      <c r="B225" s="160"/>
      <c r="C225" s="339"/>
      <c r="D225" s="340"/>
      <c r="E225" s="324"/>
    </row>
    <row r="226" spans="1:5" ht="28.5" x14ac:dyDescent="0.25">
      <c r="A226" s="1" t="s">
        <v>13</v>
      </c>
      <c r="B226" s="160"/>
      <c r="C226" s="322" t="s">
        <v>554</v>
      </c>
      <c r="D226" s="323"/>
      <c r="E226" s="324"/>
    </row>
    <row r="227" spans="1:5" ht="15" x14ac:dyDescent="0.25">
      <c r="A227" s="1"/>
      <c r="B227" s="160"/>
      <c r="C227" s="322"/>
      <c r="D227" s="323"/>
      <c r="E227" s="324"/>
    </row>
    <row r="228" spans="1:5" ht="28.5" x14ac:dyDescent="0.25">
      <c r="A228" s="1" t="s">
        <v>14</v>
      </c>
      <c r="B228" s="160"/>
      <c r="C228" s="322" t="s">
        <v>555</v>
      </c>
      <c r="D228" s="323"/>
      <c r="E228" s="324"/>
    </row>
    <row r="229" spans="1:5" ht="15" x14ac:dyDescent="0.25">
      <c r="A229" s="1"/>
      <c r="B229" s="160"/>
      <c r="C229" s="322"/>
      <c r="D229" s="323"/>
      <c r="E229" s="324"/>
    </row>
    <row r="230" spans="1:5" ht="36.6" customHeight="1" x14ac:dyDescent="0.25">
      <c r="A230" s="1"/>
      <c r="B230" s="160"/>
      <c r="C230" s="337" t="s">
        <v>556</v>
      </c>
      <c r="D230" s="338"/>
      <c r="E230" s="324"/>
    </row>
    <row r="231" spans="1:5" ht="15" x14ac:dyDescent="0.25">
      <c r="A231" s="1"/>
      <c r="B231" s="160"/>
      <c r="C231" s="339"/>
      <c r="D231" s="340"/>
      <c r="E231" s="324"/>
    </row>
    <row r="232" spans="1:5" ht="105" customHeight="1" x14ac:dyDescent="0.25">
      <c r="A232" s="1" t="s">
        <v>15</v>
      </c>
      <c r="B232" s="160"/>
      <c r="C232" s="322" t="s">
        <v>557</v>
      </c>
      <c r="D232" s="323"/>
      <c r="E232" s="324"/>
    </row>
    <row r="233" spans="1:5" ht="15" x14ac:dyDescent="0.25">
      <c r="A233" s="1"/>
      <c r="B233" s="160"/>
      <c r="C233" s="325"/>
      <c r="D233" s="326"/>
      <c r="E233" s="324"/>
    </row>
    <row r="234" spans="1:5" x14ac:dyDescent="0.2">
      <c r="A234" s="4"/>
      <c r="B234" s="299"/>
      <c r="C234" s="307"/>
      <c r="D234" s="307"/>
      <c r="E234" s="324"/>
    </row>
    <row r="235" spans="1:5" x14ac:dyDescent="0.2">
      <c r="A235" s="4"/>
      <c r="B235" s="299"/>
      <c r="C235" s="307"/>
      <c r="D235" s="307"/>
      <c r="E235" s="324"/>
    </row>
    <row r="236" spans="1:5" x14ac:dyDescent="0.2">
      <c r="A236" s="161"/>
      <c r="B236" s="157"/>
      <c r="C236" s="157"/>
      <c r="D236" s="157"/>
      <c r="E236" s="329"/>
    </row>
    <row r="237" spans="1:5" ht="15" x14ac:dyDescent="0.25">
      <c r="A237" s="197"/>
      <c r="B237" s="188"/>
      <c r="C237" s="166"/>
      <c r="D237" s="166"/>
      <c r="E237" s="330"/>
    </row>
    <row r="238" spans="1:5" ht="15.75" thickBot="1" x14ac:dyDescent="0.3">
      <c r="A238" s="190"/>
      <c r="B238" s="188"/>
      <c r="C238" s="164" t="s">
        <v>6</v>
      </c>
      <c r="D238" s="164"/>
      <c r="E238" s="331">
        <f>SUM(E206:E237)</f>
        <v>0</v>
      </c>
    </row>
    <row r="239" spans="1:5" ht="15" thickTop="1" x14ac:dyDescent="0.2"/>
    <row r="240" spans="1:5" x14ac:dyDescent="0.2">
      <c r="D240" s="157"/>
      <c r="E240" s="318"/>
    </row>
    <row r="241" spans="1:5" ht="15" x14ac:dyDescent="0.25">
      <c r="A241" s="309"/>
      <c r="B241" s="159"/>
      <c r="C241" s="159"/>
      <c r="D241" s="160"/>
      <c r="E241" s="321"/>
    </row>
    <row r="242" spans="1:5" ht="15" x14ac:dyDescent="0.25">
      <c r="A242" s="161"/>
      <c r="B242" s="162"/>
      <c r="C242" s="162" t="s">
        <v>0</v>
      </c>
      <c r="D242" s="162"/>
      <c r="E242" s="320" t="s">
        <v>5</v>
      </c>
    </row>
    <row r="243" spans="1:5" ht="15" x14ac:dyDescent="0.25">
      <c r="A243" s="1"/>
      <c r="B243" s="160"/>
      <c r="C243" s="301"/>
      <c r="D243" s="301"/>
      <c r="E243" s="321"/>
    </row>
    <row r="244" spans="1:5" ht="15" x14ac:dyDescent="0.25">
      <c r="A244" s="1"/>
      <c r="B244" s="160"/>
      <c r="C244" s="337" t="s">
        <v>558</v>
      </c>
      <c r="D244" s="338"/>
      <c r="E244" s="324"/>
    </row>
    <row r="245" spans="1:5" ht="15" x14ac:dyDescent="0.25">
      <c r="A245" s="1"/>
      <c r="B245" s="160"/>
      <c r="C245" s="339"/>
      <c r="D245" s="340"/>
      <c r="E245" s="324"/>
    </row>
    <row r="246" spans="1:5" ht="42.75" x14ac:dyDescent="0.25">
      <c r="A246" s="1" t="s">
        <v>9</v>
      </c>
      <c r="B246" s="160"/>
      <c r="C246" s="322" t="s">
        <v>559</v>
      </c>
      <c r="D246" s="323"/>
      <c r="E246" s="324"/>
    </row>
    <row r="247" spans="1:5" ht="15" x14ac:dyDescent="0.25">
      <c r="A247" s="1"/>
      <c r="B247" s="160"/>
      <c r="C247" s="322"/>
      <c r="D247" s="323"/>
      <c r="E247" s="324"/>
    </row>
    <row r="248" spans="1:5" ht="28.5" x14ac:dyDescent="0.25">
      <c r="A248" s="1" t="s">
        <v>10</v>
      </c>
      <c r="B248" s="160"/>
      <c r="C248" s="322" t="s">
        <v>560</v>
      </c>
      <c r="D248" s="323"/>
      <c r="E248" s="324"/>
    </row>
    <row r="249" spans="1:5" ht="15" x14ac:dyDescent="0.25">
      <c r="A249" s="1"/>
      <c r="B249" s="160"/>
      <c r="C249" s="322"/>
      <c r="D249" s="323"/>
      <c r="E249" s="324"/>
    </row>
    <row r="250" spans="1:5" ht="57.75" x14ac:dyDescent="0.25">
      <c r="A250" s="1" t="s">
        <v>11</v>
      </c>
      <c r="B250" s="160"/>
      <c r="C250" s="322" t="s">
        <v>561</v>
      </c>
      <c r="D250" s="323"/>
      <c r="E250" s="324"/>
    </row>
    <row r="251" spans="1:5" ht="15" x14ac:dyDescent="0.25">
      <c r="A251" s="1"/>
      <c r="B251" s="160"/>
      <c r="C251" s="322"/>
      <c r="D251" s="323"/>
      <c r="E251" s="324"/>
    </row>
    <row r="252" spans="1:5" ht="71.25" x14ac:dyDescent="0.25">
      <c r="A252" s="1" t="s">
        <v>12</v>
      </c>
      <c r="B252" s="160"/>
      <c r="C252" s="322" t="s">
        <v>562</v>
      </c>
      <c r="D252" s="323"/>
      <c r="E252" s="324"/>
    </row>
    <row r="253" spans="1:5" ht="15" x14ac:dyDescent="0.25">
      <c r="A253" s="1"/>
      <c r="B253" s="160"/>
      <c r="C253" s="322"/>
      <c r="D253" s="323"/>
      <c r="E253" s="324"/>
    </row>
    <row r="254" spans="1:5" ht="15" x14ac:dyDescent="0.25">
      <c r="A254" s="1"/>
      <c r="B254" s="160"/>
      <c r="C254" s="337" t="s">
        <v>563</v>
      </c>
      <c r="D254" s="338"/>
      <c r="E254" s="324"/>
    </row>
    <row r="255" spans="1:5" ht="15" x14ac:dyDescent="0.25">
      <c r="A255" s="1"/>
      <c r="B255" s="160"/>
      <c r="C255" s="339"/>
      <c r="D255" s="340"/>
      <c r="E255" s="324"/>
    </row>
    <row r="256" spans="1:5" ht="42.75" x14ac:dyDescent="0.2">
      <c r="A256" s="4" t="s">
        <v>13</v>
      </c>
      <c r="B256" s="299"/>
      <c r="C256" s="322" t="s">
        <v>564</v>
      </c>
      <c r="D256" s="323"/>
      <c r="E256" s="373"/>
    </row>
    <row r="257" spans="1:5" x14ac:dyDescent="0.2">
      <c r="A257" s="4"/>
      <c r="B257" s="299"/>
      <c r="C257" s="322"/>
      <c r="D257" s="323"/>
      <c r="E257" s="373"/>
    </row>
    <row r="258" spans="1:5" ht="28.5" x14ac:dyDescent="0.2">
      <c r="A258" s="4" t="s">
        <v>14</v>
      </c>
      <c r="B258" s="299"/>
      <c r="C258" s="322" t="s">
        <v>565</v>
      </c>
      <c r="D258" s="323"/>
      <c r="E258" s="373"/>
    </row>
    <row r="259" spans="1:5" x14ac:dyDescent="0.2">
      <c r="A259" s="4"/>
      <c r="B259" s="299"/>
      <c r="C259" s="322"/>
      <c r="D259" s="323"/>
      <c r="E259" s="373"/>
    </row>
    <row r="260" spans="1:5" ht="57" x14ac:dyDescent="0.25">
      <c r="A260" s="1" t="s">
        <v>15</v>
      </c>
      <c r="B260" s="160"/>
      <c r="C260" s="322" t="s">
        <v>566</v>
      </c>
      <c r="D260" s="323"/>
      <c r="E260" s="324"/>
    </row>
    <row r="261" spans="1:5" x14ac:dyDescent="0.2">
      <c r="A261" s="4"/>
      <c r="B261" s="299"/>
      <c r="C261" s="322"/>
      <c r="D261" s="323"/>
      <c r="E261" s="373"/>
    </row>
    <row r="262" spans="1:5" ht="72.599999999999994" customHeight="1" x14ac:dyDescent="0.25">
      <c r="A262" s="1" t="s">
        <v>16</v>
      </c>
      <c r="B262" s="160"/>
      <c r="C262" s="310" t="s">
        <v>567</v>
      </c>
      <c r="D262" s="351"/>
      <c r="E262" s="324"/>
    </row>
    <row r="263" spans="1:5" x14ac:dyDescent="0.2">
      <c r="A263" s="4"/>
      <c r="B263" s="299"/>
      <c r="C263" s="307"/>
      <c r="D263" s="307"/>
      <c r="E263" s="324"/>
    </row>
    <row r="264" spans="1:5" x14ac:dyDescent="0.2">
      <c r="A264" s="4"/>
      <c r="B264" s="299"/>
      <c r="C264" s="307"/>
      <c r="D264" s="307"/>
      <c r="E264" s="324"/>
    </row>
    <row r="265" spans="1:5" x14ac:dyDescent="0.2">
      <c r="A265" s="4"/>
      <c r="B265" s="299"/>
      <c r="D265" s="307"/>
      <c r="E265" s="324"/>
    </row>
    <row r="266" spans="1:5" x14ac:dyDescent="0.2">
      <c r="A266" s="4"/>
      <c r="B266" s="299"/>
      <c r="C266" s="307"/>
      <c r="D266" s="307"/>
      <c r="E266" s="324"/>
    </row>
    <row r="267" spans="1:5" x14ac:dyDescent="0.2">
      <c r="A267" s="4"/>
      <c r="B267" s="299"/>
      <c r="C267" s="307"/>
      <c r="D267" s="307"/>
      <c r="E267" s="324"/>
    </row>
    <row r="268" spans="1:5" x14ac:dyDescent="0.2">
      <c r="A268" s="4"/>
      <c r="B268" s="299"/>
      <c r="C268" s="307"/>
      <c r="D268" s="307"/>
      <c r="E268" s="324"/>
    </row>
    <row r="269" spans="1:5" x14ac:dyDescent="0.2">
      <c r="A269" s="4"/>
      <c r="B269" s="299"/>
      <c r="C269" s="307"/>
      <c r="D269" s="307"/>
      <c r="E269" s="324"/>
    </row>
    <row r="270" spans="1:5" x14ac:dyDescent="0.2">
      <c r="A270" s="161"/>
      <c r="B270" s="157"/>
      <c r="C270" s="157"/>
      <c r="D270" s="157"/>
      <c r="E270" s="329"/>
    </row>
    <row r="271" spans="1:5" ht="15" x14ac:dyDescent="0.25">
      <c r="A271" s="197"/>
      <c r="B271" s="188"/>
      <c r="C271" s="166"/>
      <c r="D271" s="166"/>
      <c r="E271" s="330"/>
    </row>
    <row r="272" spans="1:5" ht="15.75" thickBot="1" x14ac:dyDescent="0.3">
      <c r="A272" s="190"/>
      <c r="B272" s="188"/>
      <c r="C272" s="164" t="s">
        <v>6</v>
      </c>
      <c r="D272" s="164"/>
      <c r="E272" s="331">
        <f>SUM(E246:E271)</f>
        <v>0</v>
      </c>
    </row>
    <row r="273" spans="1:5" ht="15" thickTop="1" x14ac:dyDescent="0.2">
      <c r="E273" s="346"/>
    </row>
    <row r="274" spans="1:5" x14ac:dyDescent="0.2">
      <c r="D274" s="157"/>
      <c r="E274" s="318"/>
    </row>
    <row r="275" spans="1:5" ht="15" x14ac:dyDescent="0.25">
      <c r="A275" s="309"/>
      <c r="B275" s="159"/>
      <c r="C275" s="159"/>
      <c r="D275" s="160"/>
      <c r="E275" s="319"/>
    </row>
    <row r="276" spans="1:5" ht="15" x14ac:dyDescent="0.25">
      <c r="A276" s="161"/>
      <c r="B276" s="162"/>
      <c r="C276" s="162" t="s">
        <v>0</v>
      </c>
      <c r="D276" s="162"/>
      <c r="E276" s="320" t="s">
        <v>5</v>
      </c>
    </row>
    <row r="277" spans="1:5" ht="15" x14ac:dyDescent="0.25">
      <c r="A277" s="1"/>
      <c r="B277" s="160"/>
      <c r="C277" s="301"/>
      <c r="D277" s="301"/>
      <c r="E277" s="321"/>
    </row>
    <row r="278" spans="1:5" ht="15" x14ac:dyDescent="0.25">
      <c r="A278" s="1"/>
      <c r="B278" s="160"/>
      <c r="C278" s="337" t="s">
        <v>568</v>
      </c>
      <c r="D278" s="338"/>
      <c r="E278" s="324"/>
    </row>
    <row r="279" spans="1:5" ht="15" x14ac:dyDescent="0.25">
      <c r="A279" s="1"/>
      <c r="B279" s="160"/>
      <c r="C279" s="322"/>
      <c r="D279" s="323"/>
      <c r="E279" s="324"/>
    </row>
    <row r="280" spans="1:5" ht="99.75" x14ac:dyDescent="0.25">
      <c r="A280" s="1" t="s">
        <v>9</v>
      </c>
      <c r="B280" s="160"/>
      <c r="C280" s="322" t="s">
        <v>569</v>
      </c>
      <c r="D280" s="323"/>
      <c r="E280" s="324"/>
    </row>
    <row r="281" spans="1:5" ht="15" x14ac:dyDescent="0.25">
      <c r="A281" s="1"/>
      <c r="B281" s="160"/>
      <c r="C281" s="322"/>
      <c r="D281" s="323"/>
      <c r="E281" s="324"/>
    </row>
    <row r="282" spans="1:5" ht="85.5" x14ac:dyDescent="0.25">
      <c r="A282" s="1" t="s">
        <v>10</v>
      </c>
      <c r="B282" s="160"/>
      <c r="C282" s="322" t="s">
        <v>570</v>
      </c>
      <c r="D282" s="323"/>
      <c r="E282" s="324"/>
    </row>
    <row r="283" spans="1:5" ht="15" x14ac:dyDescent="0.25">
      <c r="A283" s="1"/>
      <c r="B283" s="160"/>
      <c r="C283" s="322"/>
      <c r="D283" s="323"/>
      <c r="E283" s="324"/>
    </row>
    <row r="284" spans="1:5" ht="28.5" x14ac:dyDescent="0.25">
      <c r="A284" s="1" t="s">
        <v>11</v>
      </c>
      <c r="B284" s="160"/>
      <c r="C284" s="322" t="s">
        <v>571</v>
      </c>
      <c r="D284" s="323"/>
      <c r="E284" s="324"/>
    </row>
    <row r="285" spans="1:5" ht="15" x14ac:dyDescent="0.25">
      <c r="A285" s="1"/>
      <c r="B285" s="160"/>
      <c r="C285" s="322"/>
      <c r="D285" s="323"/>
      <c r="E285" s="324"/>
    </row>
    <row r="286" spans="1:5" ht="15" x14ac:dyDescent="0.25">
      <c r="A286" s="1"/>
      <c r="B286" s="160"/>
      <c r="C286" s="310"/>
      <c r="D286" s="310"/>
      <c r="E286" s="324"/>
    </row>
    <row r="287" spans="1:5" ht="15" x14ac:dyDescent="0.25">
      <c r="A287" s="1"/>
      <c r="B287" s="160"/>
      <c r="C287" s="325"/>
      <c r="D287" s="326"/>
      <c r="E287" s="324"/>
    </row>
    <row r="288" spans="1:5" ht="15" x14ac:dyDescent="0.25">
      <c r="A288" s="1"/>
      <c r="B288" s="160"/>
      <c r="C288" s="312"/>
      <c r="D288" s="349"/>
      <c r="E288" s="324"/>
    </row>
    <row r="289" spans="1:5" ht="15" x14ac:dyDescent="0.25">
      <c r="A289" s="1"/>
      <c r="B289" s="160"/>
      <c r="C289" s="325"/>
      <c r="D289" s="326"/>
      <c r="E289" s="324"/>
    </row>
    <row r="290" spans="1:5" ht="15" x14ac:dyDescent="0.25">
      <c r="A290" s="4"/>
      <c r="B290" s="299"/>
      <c r="C290" s="199"/>
      <c r="D290" s="199"/>
      <c r="E290" s="373"/>
    </row>
    <row r="291" spans="1:5" ht="15" x14ac:dyDescent="0.25">
      <c r="A291" s="4"/>
      <c r="B291" s="299"/>
      <c r="C291" s="199"/>
      <c r="D291" s="199"/>
      <c r="E291" s="373"/>
    </row>
    <row r="292" spans="1:5" ht="15" x14ac:dyDescent="0.25">
      <c r="A292" s="4"/>
      <c r="B292" s="299"/>
      <c r="C292" s="199"/>
      <c r="D292" s="199"/>
      <c r="E292" s="373"/>
    </row>
    <row r="293" spans="1:5" ht="15" x14ac:dyDescent="0.25">
      <c r="A293" s="4"/>
      <c r="B293" s="299"/>
      <c r="C293" s="199"/>
      <c r="D293" s="199"/>
      <c r="E293" s="373"/>
    </row>
    <row r="294" spans="1:5" ht="15" x14ac:dyDescent="0.25">
      <c r="A294" s="1"/>
      <c r="B294" s="160"/>
      <c r="C294" s="325"/>
      <c r="D294" s="326"/>
      <c r="E294" s="324"/>
    </row>
    <row r="295" spans="1:5" ht="15" x14ac:dyDescent="0.25">
      <c r="A295" s="1"/>
      <c r="B295" s="160"/>
      <c r="C295" s="325"/>
      <c r="D295" s="326"/>
      <c r="E295" s="324"/>
    </row>
    <row r="296" spans="1:5" x14ac:dyDescent="0.2">
      <c r="A296" s="4"/>
      <c r="B296" s="299"/>
      <c r="C296" s="3"/>
      <c r="D296" s="299"/>
      <c r="E296" s="373"/>
    </row>
    <row r="297" spans="1:5" ht="15" x14ac:dyDescent="0.25">
      <c r="A297" s="1"/>
      <c r="B297" s="160"/>
      <c r="C297" s="325"/>
      <c r="D297" s="326"/>
      <c r="E297" s="324"/>
    </row>
    <row r="298" spans="1:5" ht="15" x14ac:dyDescent="0.25">
      <c r="A298" s="1"/>
      <c r="B298" s="160"/>
      <c r="C298" s="325"/>
      <c r="D298" s="326"/>
      <c r="E298" s="324"/>
    </row>
    <row r="299" spans="1:5" ht="15" x14ac:dyDescent="0.25">
      <c r="A299" s="1"/>
      <c r="B299" s="160"/>
      <c r="C299" s="325"/>
      <c r="D299" s="326"/>
      <c r="E299" s="324"/>
    </row>
    <row r="300" spans="1:5" ht="15" x14ac:dyDescent="0.25">
      <c r="A300" s="1"/>
      <c r="B300" s="160"/>
      <c r="C300" s="325"/>
      <c r="D300" s="326"/>
      <c r="E300" s="324"/>
    </row>
    <row r="301" spans="1:5" ht="15" x14ac:dyDescent="0.25">
      <c r="A301" s="1"/>
      <c r="B301" s="160"/>
      <c r="C301" s="325"/>
      <c r="D301" s="326"/>
      <c r="E301" s="324"/>
    </row>
    <row r="302" spans="1:5" ht="15" x14ac:dyDescent="0.25">
      <c r="A302" s="1"/>
      <c r="B302" s="160"/>
      <c r="C302" s="325"/>
      <c r="D302" s="326"/>
      <c r="E302" s="324"/>
    </row>
    <row r="303" spans="1:5" ht="15" x14ac:dyDescent="0.25">
      <c r="A303" s="1"/>
      <c r="B303" s="160"/>
      <c r="C303" s="325"/>
      <c r="D303" s="326"/>
      <c r="E303" s="324"/>
    </row>
    <row r="304" spans="1:5" ht="15" x14ac:dyDescent="0.25">
      <c r="A304" s="1"/>
      <c r="B304" s="160"/>
      <c r="C304" s="325"/>
      <c r="D304" s="326"/>
      <c r="E304" s="324"/>
    </row>
    <row r="305" spans="1:5" x14ac:dyDescent="0.2">
      <c r="A305" s="4"/>
      <c r="B305" s="299"/>
      <c r="C305" s="307"/>
      <c r="D305" s="307"/>
      <c r="E305" s="324"/>
    </row>
    <row r="306" spans="1:5" ht="15" x14ac:dyDescent="0.2">
      <c r="A306" s="4"/>
      <c r="B306" s="299"/>
      <c r="C306" s="305"/>
      <c r="D306" s="305"/>
      <c r="E306" s="373"/>
    </row>
    <row r="307" spans="1:5" ht="15" x14ac:dyDescent="0.2">
      <c r="A307" s="4"/>
      <c r="B307" s="299"/>
      <c r="C307" s="305"/>
      <c r="D307" s="305"/>
      <c r="E307" s="373"/>
    </row>
    <row r="308" spans="1:5" ht="15" x14ac:dyDescent="0.2">
      <c r="A308" s="4"/>
      <c r="B308" s="299"/>
      <c r="C308" s="305"/>
      <c r="D308" s="305"/>
      <c r="E308" s="373"/>
    </row>
    <row r="309" spans="1:5" ht="15" x14ac:dyDescent="0.2">
      <c r="A309" s="4"/>
      <c r="B309" s="299"/>
      <c r="C309" s="305"/>
      <c r="D309" s="305"/>
      <c r="E309" s="373"/>
    </row>
    <row r="310" spans="1:5" x14ac:dyDescent="0.2">
      <c r="A310" s="4"/>
      <c r="B310" s="299"/>
      <c r="C310" s="307"/>
      <c r="D310" s="307"/>
      <c r="E310" s="324"/>
    </row>
    <row r="311" spans="1:5" x14ac:dyDescent="0.2">
      <c r="A311" s="4"/>
      <c r="B311" s="299"/>
      <c r="C311" s="307"/>
      <c r="D311" s="307"/>
      <c r="E311" s="324"/>
    </row>
    <row r="312" spans="1:5" x14ac:dyDescent="0.2">
      <c r="A312" s="161"/>
      <c r="B312" s="157"/>
      <c r="C312" s="157"/>
      <c r="D312" s="157"/>
      <c r="E312" s="329"/>
    </row>
    <row r="313" spans="1:5" ht="15" x14ac:dyDescent="0.25">
      <c r="A313" s="197"/>
      <c r="B313" s="188"/>
      <c r="C313" s="166"/>
      <c r="D313" s="166"/>
      <c r="E313" s="330"/>
    </row>
    <row r="314" spans="1:5" ht="15.75" thickBot="1" x14ac:dyDescent="0.3">
      <c r="A314" s="190"/>
      <c r="B314" s="188"/>
      <c r="C314" s="164" t="s">
        <v>6</v>
      </c>
      <c r="D314" s="164"/>
      <c r="E314" s="331">
        <f>SUM(E280:E313)</f>
        <v>0</v>
      </c>
    </row>
    <row r="315" spans="1:5" ht="15" thickTop="1" x14ac:dyDescent="0.2">
      <c r="E315" s="346"/>
    </row>
    <row r="316" spans="1:5" x14ac:dyDescent="0.2">
      <c r="D316" s="157"/>
      <c r="E316" s="318"/>
    </row>
    <row r="317" spans="1:5" ht="15" x14ac:dyDescent="0.25">
      <c r="A317" s="309"/>
      <c r="B317" s="159"/>
      <c r="C317" s="159"/>
      <c r="D317" s="160"/>
      <c r="E317" s="319"/>
    </row>
    <row r="318" spans="1:5" ht="15" x14ac:dyDescent="0.25">
      <c r="A318" s="161"/>
      <c r="B318" s="162"/>
      <c r="C318" s="162" t="s">
        <v>0</v>
      </c>
      <c r="D318" s="162"/>
      <c r="E318" s="320" t="s">
        <v>5</v>
      </c>
    </row>
    <row r="319" spans="1:5" ht="15" x14ac:dyDescent="0.25">
      <c r="A319" s="1"/>
      <c r="B319" s="160"/>
      <c r="C319" s="301"/>
      <c r="D319" s="301"/>
      <c r="E319" s="321"/>
    </row>
    <row r="320" spans="1:5" ht="15" x14ac:dyDescent="0.25">
      <c r="A320" s="1"/>
      <c r="B320" s="160"/>
      <c r="C320" s="337" t="s">
        <v>572</v>
      </c>
      <c r="D320" s="338"/>
      <c r="E320" s="324"/>
    </row>
    <row r="321" spans="1:5" ht="15" x14ac:dyDescent="0.25">
      <c r="A321" s="1"/>
      <c r="B321" s="160"/>
      <c r="C321" s="339"/>
      <c r="D321" s="340"/>
      <c r="E321" s="324"/>
    </row>
    <row r="322" spans="1:5" ht="80.25" customHeight="1" x14ac:dyDescent="0.25">
      <c r="A322" s="1" t="s">
        <v>9</v>
      </c>
      <c r="B322" s="160"/>
      <c r="C322" s="322" t="s">
        <v>573</v>
      </c>
      <c r="D322" s="323"/>
      <c r="E322" s="324"/>
    </row>
    <row r="323" spans="1:5" ht="15" x14ac:dyDescent="0.25">
      <c r="A323" s="1"/>
      <c r="B323" s="160"/>
      <c r="C323" s="339"/>
      <c r="D323" s="340"/>
      <c r="E323" s="324"/>
    </row>
    <row r="324" spans="1:5" ht="15" x14ac:dyDescent="0.25">
      <c r="A324" s="1"/>
      <c r="B324" s="160"/>
      <c r="C324" s="339"/>
      <c r="D324" s="340"/>
      <c r="E324" s="324"/>
    </row>
    <row r="325" spans="1:5" ht="15" x14ac:dyDescent="0.25">
      <c r="A325" s="1"/>
      <c r="B325" s="160"/>
      <c r="C325" s="337" t="s">
        <v>574</v>
      </c>
      <c r="D325" s="338"/>
      <c r="E325" s="324"/>
    </row>
    <row r="326" spans="1:5" ht="15" x14ac:dyDescent="0.25">
      <c r="A326" s="1"/>
      <c r="B326" s="160"/>
      <c r="C326" s="339"/>
      <c r="D326" s="340"/>
      <c r="E326" s="324"/>
    </row>
    <row r="327" spans="1:5" ht="85.5" x14ac:dyDescent="0.25">
      <c r="A327" s="1" t="s">
        <v>10</v>
      </c>
      <c r="B327" s="160"/>
      <c r="C327" s="322" t="s">
        <v>575</v>
      </c>
      <c r="D327" s="323"/>
      <c r="E327" s="324"/>
    </row>
    <row r="328" spans="1:5" ht="15" x14ac:dyDescent="0.25">
      <c r="A328" s="1"/>
      <c r="B328" s="160"/>
      <c r="C328" s="322"/>
      <c r="D328" s="323"/>
      <c r="E328" s="324"/>
    </row>
    <row r="329" spans="1:5" ht="15" x14ac:dyDescent="0.25">
      <c r="A329" s="1"/>
      <c r="B329" s="160"/>
      <c r="C329" s="322"/>
      <c r="D329" s="323"/>
      <c r="E329" s="324"/>
    </row>
    <row r="330" spans="1:5" ht="29.25" customHeight="1" x14ac:dyDescent="0.25">
      <c r="A330" s="1"/>
      <c r="B330" s="160"/>
      <c r="C330" s="337" t="s">
        <v>576</v>
      </c>
      <c r="D330" s="338"/>
      <c r="E330" s="324"/>
    </row>
    <row r="331" spans="1:5" ht="15" x14ac:dyDescent="0.25">
      <c r="A331" s="1"/>
      <c r="B331" s="160"/>
      <c r="C331" s="322"/>
      <c r="D331" s="323"/>
      <c r="E331" s="324"/>
    </row>
    <row r="332" spans="1:5" ht="44.25" x14ac:dyDescent="0.25">
      <c r="A332" s="4" t="s">
        <v>11</v>
      </c>
      <c r="B332" s="299"/>
      <c r="C332" s="345" t="s">
        <v>577</v>
      </c>
      <c r="D332" s="344"/>
      <c r="E332" s="373"/>
    </row>
    <row r="333" spans="1:5" ht="15" x14ac:dyDescent="0.25">
      <c r="A333" s="4"/>
      <c r="B333" s="299"/>
      <c r="C333" s="199"/>
      <c r="D333" s="199"/>
      <c r="E333" s="373"/>
    </row>
    <row r="334" spans="1:5" ht="15" x14ac:dyDescent="0.25">
      <c r="A334" s="4"/>
      <c r="B334" s="299"/>
      <c r="C334" s="199"/>
      <c r="D334" s="199"/>
      <c r="E334" s="373"/>
    </row>
    <row r="335" spans="1:5" ht="15" x14ac:dyDescent="0.25">
      <c r="A335" s="4"/>
      <c r="B335" s="299"/>
      <c r="C335" s="199"/>
      <c r="D335" s="199"/>
      <c r="E335" s="373"/>
    </row>
    <row r="336" spans="1:5" ht="15" x14ac:dyDescent="0.25">
      <c r="A336" s="1"/>
      <c r="B336" s="160"/>
      <c r="C336" s="325"/>
      <c r="D336" s="326"/>
      <c r="E336" s="324"/>
    </row>
    <row r="337" spans="1:5" x14ac:dyDescent="0.2">
      <c r="A337" s="4"/>
      <c r="B337" s="299"/>
      <c r="C337" s="3"/>
      <c r="D337" s="299"/>
      <c r="E337" s="373"/>
    </row>
    <row r="338" spans="1:5" ht="15" x14ac:dyDescent="0.25">
      <c r="A338" s="1"/>
      <c r="B338" s="160"/>
      <c r="C338" s="325"/>
      <c r="D338" s="326"/>
      <c r="E338" s="324"/>
    </row>
    <row r="339" spans="1:5" ht="15" x14ac:dyDescent="0.25">
      <c r="A339" s="1"/>
      <c r="B339" s="160"/>
      <c r="C339" s="325"/>
      <c r="D339" s="326"/>
      <c r="E339" s="324"/>
    </row>
    <row r="340" spans="1:5" ht="15" x14ac:dyDescent="0.25">
      <c r="A340" s="1"/>
      <c r="B340" s="160"/>
      <c r="C340" s="325"/>
      <c r="D340" s="326"/>
      <c r="E340" s="324"/>
    </row>
    <row r="341" spans="1:5" ht="15" x14ac:dyDescent="0.25">
      <c r="A341" s="1"/>
      <c r="B341" s="160"/>
      <c r="C341" s="325"/>
      <c r="D341" s="326"/>
      <c r="E341" s="324"/>
    </row>
    <row r="342" spans="1:5" ht="15" x14ac:dyDescent="0.25">
      <c r="A342" s="1"/>
      <c r="B342" s="160"/>
      <c r="C342" s="325"/>
      <c r="D342" s="326"/>
      <c r="E342" s="324"/>
    </row>
    <row r="343" spans="1:5" ht="15" x14ac:dyDescent="0.25">
      <c r="A343" s="1"/>
      <c r="B343" s="160"/>
      <c r="C343" s="325"/>
      <c r="D343" s="326"/>
      <c r="E343" s="324"/>
    </row>
    <row r="344" spans="1:5" ht="15" x14ac:dyDescent="0.25">
      <c r="A344" s="1"/>
      <c r="B344" s="160"/>
      <c r="C344" s="325"/>
      <c r="D344" s="326"/>
      <c r="E344" s="324"/>
    </row>
    <row r="345" spans="1:5" ht="15" x14ac:dyDescent="0.25">
      <c r="A345" s="1"/>
      <c r="B345" s="160"/>
      <c r="C345" s="325"/>
      <c r="D345" s="326"/>
      <c r="E345" s="324"/>
    </row>
    <row r="346" spans="1:5" ht="15" x14ac:dyDescent="0.25">
      <c r="A346" s="1"/>
      <c r="B346" s="160"/>
      <c r="C346" s="325"/>
      <c r="D346" s="326"/>
      <c r="E346" s="324"/>
    </row>
    <row r="347" spans="1:5" ht="15" x14ac:dyDescent="0.25">
      <c r="A347" s="1"/>
      <c r="B347" s="160"/>
      <c r="C347" s="325"/>
      <c r="D347" s="326"/>
      <c r="E347" s="324"/>
    </row>
    <row r="348" spans="1:5" ht="15" x14ac:dyDescent="0.25">
      <c r="A348" s="1"/>
      <c r="B348" s="160"/>
      <c r="C348" s="325"/>
      <c r="D348" s="326"/>
      <c r="E348" s="324"/>
    </row>
    <row r="349" spans="1:5" ht="15" x14ac:dyDescent="0.25">
      <c r="A349" s="1"/>
      <c r="B349" s="160"/>
      <c r="C349" s="325"/>
      <c r="D349" s="326"/>
      <c r="E349" s="324"/>
    </row>
    <row r="350" spans="1:5" ht="15" x14ac:dyDescent="0.25">
      <c r="A350" s="1"/>
      <c r="B350" s="160"/>
      <c r="C350" s="325"/>
      <c r="D350" s="326"/>
      <c r="E350" s="324"/>
    </row>
    <row r="351" spans="1:5" ht="15" x14ac:dyDescent="0.25">
      <c r="A351" s="1"/>
      <c r="B351" s="160"/>
      <c r="C351" s="325"/>
      <c r="D351" s="326"/>
      <c r="E351" s="324"/>
    </row>
    <row r="352" spans="1:5" ht="15" x14ac:dyDescent="0.25">
      <c r="A352" s="1"/>
      <c r="B352" s="160"/>
      <c r="C352" s="325"/>
      <c r="D352" s="326"/>
      <c r="E352" s="324"/>
    </row>
    <row r="353" spans="1:5" ht="15" x14ac:dyDescent="0.25">
      <c r="A353" s="1"/>
      <c r="B353" s="160"/>
      <c r="C353" s="325"/>
      <c r="D353" s="326"/>
      <c r="E353" s="324"/>
    </row>
    <row r="354" spans="1:5" x14ac:dyDescent="0.2">
      <c r="A354" s="161"/>
      <c r="B354" s="157"/>
      <c r="C354" s="157"/>
      <c r="D354" s="157"/>
      <c r="E354" s="329"/>
    </row>
    <row r="355" spans="1:5" ht="15" x14ac:dyDescent="0.25">
      <c r="A355" s="197"/>
      <c r="B355" s="188"/>
      <c r="C355" s="166"/>
      <c r="D355" s="166"/>
      <c r="E355" s="330"/>
    </row>
    <row r="356" spans="1:5" ht="15.75" thickBot="1" x14ac:dyDescent="0.3">
      <c r="A356" s="190"/>
      <c r="B356" s="188"/>
      <c r="C356" s="164" t="s">
        <v>6</v>
      </c>
      <c r="D356" s="164"/>
      <c r="E356" s="331">
        <f>SUM(E322:E355)</f>
        <v>0</v>
      </c>
    </row>
    <row r="357" spans="1:5" ht="15" thickTop="1" x14ac:dyDescent="0.2">
      <c r="E357" s="346"/>
    </row>
    <row r="358" spans="1:5" x14ac:dyDescent="0.2">
      <c r="D358" s="157"/>
      <c r="E358" s="318"/>
    </row>
    <row r="359" spans="1:5" ht="15" x14ac:dyDescent="0.25">
      <c r="A359" s="309"/>
      <c r="B359" s="159"/>
      <c r="C359" s="159"/>
      <c r="D359" s="160"/>
      <c r="E359" s="319"/>
    </row>
    <row r="360" spans="1:5" ht="15" x14ac:dyDescent="0.25">
      <c r="A360" s="161"/>
      <c r="B360" s="162"/>
      <c r="C360" s="162" t="s">
        <v>0</v>
      </c>
      <c r="D360" s="162"/>
      <c r="E360" s="320" t="s">
        <v>5</v>
      </c>
    </row>
    <row r="361" spans="1:5" ht="15" x14ac:dyDescent="0.25">
      <c r="A361" s="1"/>
      <c r="B361" s="160"/>
      <c r="C361" s="301"/>
      <c r="D361" s="301"/>
      <c r="E361" s="321"/>
    </row>
    <row r="362" spans="1:5" ht="15" x14ac:dyDescent="0.25">
      <c r="A362" s="1"/>
      <c r="B362" s="160"/>
      <c r="C362" s="312" t="s">
        <v>578</v>
      </c>
      <c r="D362" s="349"/>
      <c r="E362" s="324"/>
    </row>
    <row r="363" spans="1:5" ht="15" x14ac:dyDescent="0.25">
      <c r="A363" s="1"/>
      <c r="B363" s="160"/>
      <c r="C363" s="352"/>
      <c r="D363" s="350"/>
      <c r="E363" s="324"/>
    </row>
    <row r="364" spans="1:5" ht="71.25" x14ac:dyDescent="0.25">
      <c r="A364" s="1" t="s">
        <v>9</v>
      </c>
      <c r="B364" s="160"/>
      <c r="C364" s="322" t="s">
        <v>579</v>
      </c>
      <c r="D364" s="323"/>
      <c r="E364" s="324"/>
    </row>
    <row r="365" spans="1:5" ht="15" x14ac:dyDescent="0.25">
      <c r="A365" s="1"/>
      <c r="B365" s="160"/>
      <c r="C365" s="322"/>
      <c r="D365" s="323"/>
      <c r="E365" s="324"/>
    </row>
    <row r="366" spans="1:5" ht="15" x14ac:dyDescent="0.25">
      <c r="A366" s="1"/>
      <c r="B366" s="160"/>
      <c r="C366" s="322" t="s">
        <v>580</v>
      </c>
      <c r="D366" s="323"/>
      <c r="E366" s="324"/>
    </row>
    <row r="367" spans="1:5" ht="15" x14ac:dyDescent="0.25">
      <c r="A367" s="1"/>
      <c r="B367" s="160"/>
      <c r="C367" s="322" t="s">
        <v>581</v>
      </c>
      <c r="D367" s="323"/>
      <c r="E367" s="324"/>
    </row>
    <row r="368" spans="1:5" ht="15" x14ac:dyDescent="0.25">
      <c r="A368" s="1"/>
      <c r="B368" s="160"/>
      <c r="C368" s="322" t="s">
        <v>582</v>
      </c>
      <c r="D368" s="323"/>
      <c r="E368" s="324"/>
    </row>
    <row r="369" spans="1:5" ht="15" x14ac:dyDescent="0.25">
      <c r="A369" s="1"/>
      <c r="B369" s="160"/>
      <c r="C369" s="322" t="s">
        <v>583</v>
      </c>
      <c r="D369" s="323"/>
      <c r="E369" s="324"/>
    </row>
    <row r="370" spans="1:5" ht="15" x14ac:dyDescent="0.25">
      <c r="A370" s="1"/>
      <c r="B370" s="160"/>
      <c r="C370" s="322" t="s">
        <v>584</v>
      </c>
      <c r="D370" s="323"/>
      <c r="E370" s="324"/>
    </row>
    <row r="371" spans="1:5" ht="15" x14ac:dyDescent="0.25">
      <c r="A371" s="1"/>
      <c r="B371" s="160"/>
      <c r="C371" s="322" t="s">
        <v>585</v>
      </c>
      <c r="D371" s="323"/>
      <c r="E371" s="324"/>
    </row>
    <row r="372" spans="1:5" ht="15" x14ac:dyDescent="0.25">
      <c r="A372" s="1"/>
      <c r="B372" s="160"/>
      <c r="C372" s="322" t="s">
        <v>586</v>
      </c>
      <c r="D372" s="323"/>
      <c r="E372" s="324"/>
    </row>
    <row r="373" spans="1:5" ht="15" x14ac:dyDescent="0.25">
      <c r="A373" s="1"/>
      <c r="B373" s="160"/>
      <c r="C373" s="322" t="s">
        <v>587</v>
      </c>
      <c r="D373" s="323"/>
      <c r="E373" s="324"/>
    </row>
    <row r="374" spans="1:5" x14ac:dyDescent="0.2">
      <c r="A374" s="4"/>
      <c r="B374" s="299"/>
      <c r="C374" s="322" t="s">
        <v>588</v>
      </c>
      <c r="D374" s="323"/>
      <c r="E374" s="373"/>
    </row>
    <row r="375" spans="1:5" ht="28.5" x14ac:dyDescent="0.2">
      <c r="A375" s="4"/>
      <c r="B375" s="299"/>
      <c r="C375" s="322" t="s">
        <v>589</v>
      </c>
      <c r="D375" s="323"/>
      <c r="E375" s="373"/>
    </row>
    <row r="376" spans="1:5" x14ac:dyDescent="0.2">
      <c r="A376" s="4"/>
      <c r="B376" s="299"/>
      <c r="C376" s="322" t="s">
        <v>590</v>
      </c>
      <c r="D376" s="323"/>
      <c r="E376" s="373"/>
    </row>
    <row r="377" spans="1:5" x14ac:dyDescent="0.2">
      <c r="A377" s="4"/>
      <c r="B377" s="299"/>
      <c r="C377" s="322" t="s">
        <v>591</v>
      </c>
      <c r="D377" s="323"/>
      <c r="E377" s="373"/>
    </row>
    <row r="378" spans="1:5" ht="15" x14ac:dyDescent="0.25">
      <c r="A378" s="1"/>
      <c r="B378" s="160"/>
      <c r="C378" s="322" t="s">
        <v>592</v>
      </c>
      <c r="D378" s="323"/>
      <c r="E378" s="324"/>
    </row>
    <row r="379" spans="1:5" x14ac:dyDescent="0.2">
      <c r="A379" s="4"/>
      <c r="B379" s="299"/>
      <c r="C379" s="322" t="s">
        <v>593</v>
      </c>
      <c r="D379" s="323"/>
      <c r="E379" s="373"/>
    </row>
    <row r="380" spans="1:5" ht="15" x14ac:dyDescent="0.25">
      <c r="A380" s="1"/>
      <c r="B380" s="160"/>
      <c r="C380" s="322" t="s">
        <v>594</v>
      </c>
      <c r="D380" s="323"/>
      <c r="E380" s="324"/>
    </row>
    <row r="381" spans="1:5" ht="15" x14ac:dyDescent="0.25">
      <c r="A381" s="1"/>
      <c r="B381" s="160"/>
      <c r="C381" s="322"/>
      <c r="D381" s="323"/>
      <c r="E381" s="324"/>
    </row>
    <row r="382" spans="1:5" ht="15" x14ac:dyDescent="0.25">
      <c r="A382" s="1"/>
      <c r="B382" s="160"/>
      <c r="C382" s="322" t="s">
        <v>595</v>
      </c>
      <c r="D382" s="323"/>
      <c r="E382" s="324"/>
    </row>
    <row r="383" spans="1:5" ht="15" x14ac:dyDescent="0.25">
      <c r="A383" s="1"/>
      <c r="B383" s="160"/>
      <c r="C383" s="322"/>
      <c r="D383" s="323"/>
      <c r="E383" s="324"/>
    </row>
    <row r="384" spans="1:5" ht="15" x14ac:dyDescent="0.25">
      <c r="A384" s="1" t="s">
        <v>10</v>
      </c>
      <c r="B384" s="160"/>
      <c r="C384" s="322" t="s">
        <v>596</v>
      </c>
      <c r="D384" s="323"/>
      <c r="E384" s="324"/>
    </row>
    <row r="385" spans="1:5" ht="28.5" x14ac:dyDescent="0.25">
      <c r="A385" s="1"/>
      <c r="B385" s="160"/>
      <c r="C385" s="322" t="s">
        <v>597</v>
      </c>
      <c r="D385" s="323"/>
      <c r="E385" s="324"/>
    </row>
    <row r="386" spans="1:5" ht="15" x14ac:dyDescent="0.25">
      <c r="A386" s="1"/>
      <c r="B386" s="160"/>
      <c r="C386" s="322"/>
      <c r="D386" s="323"/>
      <c r="E386" s="324"/>
    </row>
    <row r="387" spans="1:5" ht="57.75" x14ac:dyDescent="0.25">
      <c r="A387" s="1" t="s">
        <v>11</v>
      </c>
      <c r="B387" s="160"/>
      <c r="C387" s="345" t="s">
        <v>598</v>
      </c>
      <c r="D387" s="344"/>
      <c r="E387" s="324"/>
    </row>
    <row r="388" spans="1:5" ht="15" x14ac:dyDescent="0.25">
      <c r="A388" s="1"/>
      <c r="B388" s="160"/>
      <c r="C388" s="325"/>
      <c r="D388" s="326"/>
      <c r="E388" s="324"/>
    </row>
    <row r="389" spans="1:5" ht="15" x14ac:dyDescent="0.25">
      <c r="A389" s="1"/>
      <c r="B389" s="160"/>
      <c r="C389" s="325"/>
      <c r="D389" s="326"/>
      <c r="E389" s="324"/>
    </row>
    <row r="390" spans="1:5" ht="15" x14ac:dyDescent="0.25">
      <c r="A390" s="1"/>
      <c r="B390" s="160"/>
      <c r="C390" s="325"/>
      <c r="D390" s="326"/>
      <c r="E390" s="324"/>
    </row>
    <row r="391" spans="1:5" ht="15" x14ac:dyDescent="0.2">
      <c r="A391" s="4"/>
      <c r="B391" s="299"/>
      <c r="C391" s="305"/>
      <c r="D391" s="305"/>
      <c r="E391" s="373"/>
    </row>
    <row r="392" spans="1:5" ht="15" x14ac:dyDescent="0.2">
      <c r="A392" s="4"/>
      <c r="B392" s="299"/>
      <c r="C392" s="305"/>
      <c r="D392" s="305"/>
      <c r="E392" s="373"/>
    </row>
    <row r="393" spans="1:5" ht="15" x14ac:dyDescent="0.2">
      <c r="A393" s="4"/>
      <c r="B393" s="299"/>
      <c r="C393" s="305"/>
      <c r="D393" s="305"/>
      <c r="E393" s="373"/>
    </row>
    <row r="394" spans="1:5" x14ac:dyDescent="0.2">
      <c r="A394" s="4"/>
      <c r="B394" s="299"/>
      <c r="C394" s="307"/>
      <c r="D394" s="307"/>
      <c r="E394" s="324"/>
    </row>
    <row r="395" spans="1:5" x14ac:dyDescent="0.2">
      <c r="A395" s="4"/>
      <c r="B395" s="299"/>
      <c r="C395" s="307"/>
      <c r="D395" s="307"/>
      <c r="E395" s="324"/>
    </row>
    <row r="396" spans="1:5" x14ac:dyDescent="0.2">
      <c r="A396" s="4"/>
      <c r="B396" s="299"/>
      <c r="C396" s="307"/>
      <c r="D396" s="307"/>
      <c r="E396" s="324"/>
    </row>
    <row r="397" spans="1:5" ht="15" x14ac:dyDescent="0.2">
      <c r="A397" s="4"/>
      <c r="B397" s="299"/>
      <c r="C397" s="305"/>
      <c r="D397" s="305"/>
      <c r="E397" s="373"/>
    </row>
    <row r="398" spans="1:5" x14ac:dyDescent="0.2">
      <c r="A398" s="4"/>
      <c r="B398" s="299"/>
      <c r="C398" s="307"/>
      <c r="D398" s="307"/>
      <c r="E398" s="324"/>
    </row>
    <row r="399" spans="1:5" x14ac:dyDescent="0.2">
      <c r="A399" s="4"/>
      <c r="B399" s="299"/>
      <c r="C399" s="307"/>
      <c r="D399" s="307"/>
      <c r="E399" s="324"/>
    </row>
    <row r="400" spans="1:5" x14ac:dyDescent="0.2">
      <c r="A400" s="161"/>
      <c r="B400" s="157"/>
      <c r="C400" s="157"/>
      <c r="D400" s="157"/>
      <c r="E400" s="329"/>
    </row>
    <row r="401" spans="1:5" ht="15" x14ac:dyDescent="0.25">
      <c r="A401" s="197"/>
      <c r="B401" s="188"/>
      <c r="C401" s="166"/>
      <c r="D401" s="166"/>
      <c r="E401" s="330"/>
    </row>
    <row r="402" spans="1:5" ht="15.75" thickBot="1" x14ac:dyDescent="0.3">
      <c r="A402" s="190"/>
      <c r="B402" s="188"/>
      <c r="C402" s="164" t="s">
        <v>6</v>
      </c>
      <c r="D402" s="164"/>
      <c r="E402" s="331">
        <f>SUM(E364:E401)</f>
        <v>0</v>
      </c>
    </row>
    <row r="403" spans="1:5" ht="15" thickTop="1" x14ac:dyDescent="0.2">
      <c r="E403" s="346"/>
    </row>
    <row r="404" spans="1:5" x14ac:dyDescent="0.2">
      <c r="D404" s="157"/>
      <c r="E404" s="318"/>
    </row>
    <row r="405" spans="1:5" ht="15" x14ac:dyDescent="0.25">
      <c r="A405" s="309"/>
      <c r="B405" s="159"/>
      <c r="C405" s="159"/>
      <c r="D405" s="160"/>
      <c r="E405" s="319"/>
    </row>
    <row r="406" spans="1:5" ht="15" x14ac:dyDescent="0.25">
      <c r="A406" s="161"/>
      <c r="B406" s="162"/>
      <c r="C406" s="162" t="s">
        <v>0</v>
      </c>
      <c r="D406" s="162"/>
      <c r="E406" s="320" t="s">
        <v>5</v>
      </c>
    </row>
    <row r="407" spans="1:5" ht="15" x14ac:dyDescent="0.25">
      <c r="A407" s="1"/>
      <c r="B407" s="160"/>
      <c r="C407" s="301"/>
      <c r="D407" s="301"/>
      <c r="E407" s="321"/>
    </row>
    <row r="408" spans="1:5" ht="15" x14ac:dyDescent="0.25">
      <c r="A408" s="1"/>
      <c r="B408" s="160"/>
      <c r="C408" s="337" t="s">
        <v>599</v>
      </c>
      <c r="D408" s="338"/>
      <c r="E408" s="324"/>
    </row>
    <row r="409" spans="1:5" ht="15" x14ac:dyDescent="0.25">
      <c r="A409" s="1"/>
      <c r="B409" s="160"/>
      <c r="C409" s="339"/>
      <c r="D409" s="340"/>
      <c r="E409" s="324"/>
    </row>
    <row r="410" spans="1:5" ht="42.75" x14ac:dyDescent="0.25">
      <c r="A410" s="1" t="s">
        <v>9</v>
      </c>
      <c r="B410" s="160"/>
      <c r="C410" s="322" t="s">
        <v>600</v>
      </c>
      <c r="D410" s="323"/>
      <c r="E410" s="324"/>
    </row>
    <row r="411" spans="1:5" ht="15" x14ac:dyDescent="0.25">
      <c r="A411" s="1"/>
      <c r="B411" s="160"/>
      <c r="C411" s="322"/>
      <c r="D411" s="323"/>
      <c r="E411" s="324"/>
    </row>
    <row r="412" spans="1:5" ht="15" x14ac:dyDescent="0.25">
      <c r="A412" s="1"/>
      <c r="B412" s="160"/>
      <c r="C412" s="337" t="s">
        <v>601</v>
      </c>
      <c r="D412" s="338"/>
      <c r="E412" s="324"/>
    </row>
    <row r="413" spans="1:5" ht="15" x14ac:dyDescent="0.25">
      <c r="A413" s="1"/>
      <c r="B413" s="160"/>
      <c r="C413" s="339"/>
      <c r="D413" s="340"/>
      <c r="E413" s="324"/>
    </row>
    <row r="414" spans="1:5" ht="58.5" x14ac:dyDescent="0.25">
      <c r="A414" s="1" t="s">
        <v>10</v>
      </c>
      <c r="B414" s="160"/>
      <c r="C414" s="322" t="s">
        <v>602</v>
      </c>
      <c r="D414" s="323"/>
      <c r="E414" s="324"/>
    </row>
    <row r="415" spans="1:5" ht="15" x14ac:dyDescent="0.25">
      <c r="A415" s="1"/>
      <c r="B415" s="160"/>
      <c r="C415" s="322"/>
      <c r="D415" s="323"/>
      <c r="E415" s="324"/>
    </row>
    <row r="416" spans="1:5" ht="15" x14ac:dyDescent="0.25">
      <c r="A416" s="1"/>
      <c r="B416" s="160"/>
      <c r="C416" s="337" t="s">
        <v>603</v>
      </c>
      <c r="D416" s="338"/>
      <c r="E416" s="324"/>
    </row>
    <row r="417" spans="1:5" ht="15" x14ac:dyDescent="0.25">
      <c r="A417" s="1"/>
      <c r="B417" s="160"/>
      <c r="C417" s="339"/>
      <c r="D417" s="340"/>
      <c r="E417" s="324"/>
    </row>
    <row r="418" spans="1:5" ht="42.75" x14ac:dyDescent="0.25">
      <c r="A418" s="1" t="s">
        <v>11</v>
      </c>
      <c r="B418" s="160"/>
      <c r="C418" s="322" t="s">
        <v>604</v>
      </c>
      <c r="D418" s="323"/>
      <c r="E418" s="324"/>
    </row>
    <row r="419" spans="1:5" ht="15" x14ac:dyDescent="0.25">
      <c r="A419" s="1"/>
      <c r="B419" s="160"/>
      <c r="C419" s="322"/>
      <c r="D419" s="323"/>
      <c r="E419" s="324"/>
    </row>
    <row r="420" spans="1:5" x14ac:dyDescent="0.2">
      <c r="A420" s="4"/>
      <c r="B420" s="299"/>
      <c r="C420" s="322" t="s">
        <v>605</v>
      </c>
      <c r="D420" s="323"/>
      <c r="E420" s="373"/>
    </row>
    <row r="421" spans="1:5" ht="28.5" x14ac:dyDescent="0.2">
      <c r="A421" s="4"/>
      <c r="B421" s="299"/>
      <c r="C421" s="322" t="s">
        <v>606</v>
      </c>
      <c r="D421" s="323"/>
      <c r="E421" s="373"/>
    </row>
    <row r="422" spans="1:5" x14ac:dyDescent="0.2">
      <c r="A422" s="4"/>
      <c r="B422" s="299"/>
      <c r="C422" s="322" t="s">
        <v>607</v>
      </c>
      <c r="D422" s="323"/>
      <c r="E422" s="373"/>
    </row>
    <row r="423" spans="1:5" x14ac:dyDescent="0.2">
      <c r="A423" s="4"/>
      <c r="B423" s="299"/>
      <c r="C423" s="322" t="s">
        <v>608</v>
      </c>
      <c r="D423" s="323"/>
      <c r="E423" s="373"/>
    </row>
    <row r="424" spans="1:5" ht="15" x14ac:dyDescent="0.25">
      <c r="A424" s="1"/>
      <c r="B424" s="160"/>
      <c r="C424" s="322" t="s">
        <v>609</v>
      </c>
      <c r="D424" s="323"/>
      <c r="E424" s="324"/>
    </row>
    <row r="425" spans="1:5" x14ac:dyDescent="0.2">
      <c r="A425" s="4"/>
      <c r="B425" s="299"/>
      <c r="C425" s="3"/>
      <c r="D425" s="299"/>
      <c r="E425" s="373"/>
    </row>
    <row r="426" spans="1:5" ht="15" x14ac:dyDescent="0.25">
      <c r="A426" s="1"/>
      <c r="B426" s="160"/>
      <c r="C426" s="325"/>
      <c r="D426" s="326"/>
      <c r="E426" s="324"/>
    </row>
    <row r="427" spans="1:5" ht="15" x14ac:dyDescent="0.25">
      <c r="A427" s="1"/>
      <c r="B427" s="160"/>
      <c r="C427" s="325"/>
      <c r="D427" s="326"/>
      <c r="E427" s="324"/>
    </row>
    <row r="428" spans="1:5" ht="15" x14ac:dyDescent="0.25">
      <c r="A428" s="1"/>
      <c r="B428" s="160"/>
      <c r="C428" s="325"/>
      <c r="D428" s="326"/>
      <c r="E428" s="324"/>
    </row>
    <row r="429" spans="1:5" ht="15" x14ac:dyDescent="0.25">
      <c r="A429" s="1"/>
      <c r="B429" s="160"/>
      <c r="C429" s="325"/>
      <c r="D429" s="326"/>
      <c r="E429" s="324"/>
    </row>
    <row r="430" spans="1:5" ht="15" x14ac:dyDescent="0.25">
      <c r="A430" s="1"/>
      <c r="B430" s="160"/>
      <c r="C430" s="325"/>
      <c r="D430" s="326"/>
      <c r="E430" s="324"/>
    </row>
    <row r="431" spans="1:5" ht="15" x14ac:dyDescent="0.25">
      <c r="A431" s="1"/>
      <c r="B431" s="160"/>
      <c r="C431" s="325"/>
      <c r="D431" s="326"/>
      <c r="E431" s="324"/>
    </row>
    <row r="432" spans="1:5" ht="15" x14ac:dyDescent="0.25">
      <c r="A432" s="1"/>
      <c r="B432" s="160"/>
      <c r="C432" s="325"/>
      <c r="D432" s="326"/>
      <c r="E432" s="324"/>
    </row>
    <row r="433" spans="1:5" ht="15" x14ac:dyDescent="0.25">
      <c r="A433" s="1"/>
      <c r="B433" s="160"/>
      <c r="C433" s="325"/>
      <c r="D433" s="326"/>
      <c r="E433" s="324"/>
    </row>
    <row r="434" spans="1:5" ht="15" x14ac:dyDescent="0.25">
      <c r="A434" s="1"/>
      <c r="B434" s="160"/>
      <c r="C434" s="325"/>
      <c r="D434" s="326"/>
      <c r="E434" s="324"/>
    </row>
    <row r="435" spans="1:5" ht="15" x14ac:dyDescent="0.25">
      <c r="A435" s="1"/>
      <c r="B435" s="160"/>
      <c r="C435" s="325"/>
      <c r="D435" s="326"/>
      <c r="E435" s="324"/>
    </row>
    <row r="436" spans="1:5" ht="15" x14ac:dyDescent="0.25">
      <c r="A436" s="1"/>
      <c r="B436" s="160"/>
      <c r="C436" s="325"/>
      <c r="D436" s="326"/>
      <c r="E436" s="324"/>
    </row>
    <row r="437" spans="1:5" ht="15" x14ac:dyDescent="0.25">
      <c r="A437" s="1"/>
      <c r="B437" s="160"/>
      <c r="C437" s="325"/>
      <c r="D437" s="326"/>
      <c r="E437" s="324"/>
    </row>
    <row r="438" spans="1:5" ht="15" x14ac:dyDescent="0.25">
      <c r="A438" s="1"/>
      <c r="B438" s="160"/>
      <c r="C438" s="328"/>
      <c r="D438" s="328"/>
      <c r="E438" s="324"/>
    </row>
    <row r="439" spans="1:5" ht="15" x14ac:dyDescent="0.2">
      <c r="A439" s="4"/>
      <c r="B439" s="299"/>
      <c r="C439" s="306"/>
      <c r="D439" s="306"/>
      <c r="E439" s="373"/>
    </row>
    <row r="440" spans="1:5" ht="15" x14ac:dyDescent="0.2">
      <c r="A440" s="4"/>
      <c r="B440" s="299"/>
      <c r="C440" s="306"/>
      <c r="D440" s="306"/>
      <c r="E440" s="373"/>
    </row>
    <row r="441" spans="1:5" ht="15" x14ac:dyDescent="0.2">
      <c r="A441" s="4"/>
      <c r="B441" s="299"/>
      <c r="C441" s="305"/>
      <c r="D441" s="305"/>
      <c r="E441" s="373"/>
    </row>
    <row r="442" spans="1:5" x14ac:dyDescent="0.2">
      <c r="A442" s="4"/>
      <c r="B442" s="299"/>
      <c r="C442" s="307"/>
      <c r="D442" s="307"/>
      <c r="E442" s="324"/>
    </row>
    <row r="443" spans="1:5" ht="15" x14ac:dyDescent="0.2">
      <c r="A443" s="4"/>
      <c r="B443" s="299"/>
      <c r="C443" s="305"/>
      <c r="D443" s="305"/>
      <c r="E443" s="373"/>
    </row>
    <row r="444" spans="1:5" x14ac:dyDescent="0.2">
      <c r="A444" s="4"/>
      <c r="B444" s="299"/>
      <c r="C444" s="307"/>
      <c r="D444" s="307"/>
      <c r="E444" s="324"/>
    </row>
    <row r="445" spans="1:5" ht="15" x14ac:dyDescent="0.2">
      <c r="A445" s="4"/>
      <c r="B445" s="299"/>
      <c r="C445" s="305"/>
      <c r="D445" s="305"/>
      <c r="E445" s="373"/>
    </row>
    <row r="446" spans="1:5" x14ac:dyDescent="0.2">
      <c r="A446" s="4"/>
      <c r="B446" s="299"/>
      <c r="C446" s="307"/>
      <c r="D446" s="307"/>
      <c r="E446" s="324"/>
    </row>
    <row r="447" spans="1:5" x14ac:dyDescent="0.2">
      <c r="A447" s="161"/>
      <c r="B447" s="157"/>
      <c r="C447" s="157"/>
      <c r="D447" s="157"/>
      <c r="E447" s="329"/>
    </row>
    <row r="448" spans="1:5" ht="15" x14ac:dyDescent="0.25">
      <c r="A448" s="197"/>
      <c r="B448" s="188"/>
      <c r="C448" s="166"/>
      <c r="D448" s="166"/>
      <c r="E448" s="330"/>
    </row>
    <row r="449" spans="1:5" ht="15.75" thickBot="1" x14ac:dyDescent="0.3">
      <c r="A449" s="190"/>
      <c r="B449" s="188"/>
      <c r="C449" s="164" t="s">
        <v>6</v>
      </c>
      <c r="D449" s="164"/>
      <c r="E449" s="331">
        <f>SUM(E410:E448)</f>
        <v>0</v>
      </c>
    </row>
    <row r="450" spans="1:5" ht="15" thickTop="1" x14ac:dyDescent="0.2">
      <c r="E450" s="346"/>
    </row>
    <row r="451" spans="1:5" x14ac:dyDescent="0.2">
      <c r="D451" s="157"/>
      <c r="E451" s="318"/>
    </row>
    <row r="452" spans="1:5" ht="15" x14ac:dyDescent="0.25">
      <c r="A452" s="309"/>
      <c r="B452" s="159"/>
      <c r="C452" s="159"/>
      <c r="D452" s="160"/>
      <c r="E452" s="319"/>
    </row>
    <row r="453" spans="1:5" ht="15" x14ac:dyDescent="0.25">
      <c r="A453" s="161"/>
      <c r="B453" s="162"/>
      <c r="C453" s="162" t="s">
        <v>0</v>
      </c>
      <c r="D453" s="162"/>
      <c r="E453" s="320" t="s">
        <v>5</v>
      </c>
    </row>
    <row r="454" spans="1:5" ht="15" x14ac:dyDescent="0.25">
      <c r="A454" s="1"/>
      <c r="B454" s="160"/>
      <c r="C454" s="301"/>
      <c r="D454" s="301"/>
      <c r="E454" s="321"/>
    </row>
    <row r="455" spans="1:5" ht="15" x14ac:dyDescent="0.25">
      <c r="A455" s="1"/>
      <c r="B455" s="160"/>
      <c r="C455" s="337" t="s">
        <v>610</v>
      </c>
      <c r="D455" s="338"/>
      <c r="E455" s="324"/>
    </row>
    <row r="456" spans="1:5" ht="15" x14ac:dyDescent="0.25">
      <c r="A456" s="1"/>
      <c r="B456" s="160"/>
      <c r="C456" s="322"/>
      <c r="D456" s="323"/>
      <c r="E456" s="324"/>
    </row>
    <row r="457" spans="1:5" ht="57" x14ac:dyDescent="0.25">
      <c r="A457" s="1" t="s">
        <v>9</v>
      </c>
      <c r="B457" s="160"/>
      <c r="C457" s="322" t="s">
        <v>611</v>
      </c>
      <c r="D457" s="323"/>
      <c r="E457" s="324"/>
    </row>
    <row r="458" spans="1:5" ht="15" x14ac:dyDescent="0.25">
      <c r="A458" s="1"/>
      <c r="B458" s="160"/>
      <c r="C458" s="322"/>
      <c r="D458" s="323"/>
      <c r="E458" s="324"/>
    </row>
    <row r="459" spans="1:5" ht="28.5" x14ac:dyDescent="0.25">
      <c r="A459" s="1" t="s">
        <v>10</v>
      </c>
      <c r="B459" s="160"/>
      <c r="C459" s="322" t="s">
        <v>612</v>
      </c>
      <c r="D459" s="323"/>
      <c r="E459" s="324"/>
    </row>
    <row r="460" spans="1:5" ht="15" x14ac:dyDescent="0.25">
      <c r="A460" s="1"/>
      <c r="B460" s="160"/>
      <c r="C460" s="322"/>
      <c r="D460" s="323"/>
      <c r="E460" s="324"/>
    </row>
    <row r="461" spans="1:5" ht="15" x14ac:dyDescent="0.25">
      <c r="A461" s="1"/>
      <c r="B461" s="160"/>
      <c r="C461" s="337" t="s">
        <v>613</v>
      </c>
      <c r="D461" s="338"/>
      <c r="E461" s="324"/>
    </row>
    <row r="462" spans="1:5" ht="15" x14ac:dyDescent="0.25">
      <c r="A462" s="1"/>
      <c r="B462" s="160"/>
      <c r="C462" s="339"/>
      <c r="D462" s="340"/>
      <c r="E462" s="324"/>
    </row>
    <row r="463" spans="1:5" ht="71.25" x14ac:dyDescent="0.25">
      <c r="A463" s="1" t="s">
        <v>11</v>
      </c>
      <c r="B463" s="160"/>
      <c r="C463" s="322" t="s">
        <v>614</v>
      </c>
      <c r="D463" s="323"/>
      <c r="E463" s="324"/>
    </row>
    <row r="464" spans="1:5" ht="15" x14ac:dyDescent="0.25">
      <c r="A464" s="1"/>
      <c r="B464" s="160"/>
      <c r="C464" s="322"/>
      <c r="D464" s="323"/>
      <c r="E464" s="324"/>
    </row>
    <row r="465" spans="1:5" ht="15" x14ac:dyDescent="0.25">
      <c r="A465" s="1"/>
      <c r="B465" s="160"/>
      <c r="C465" s="337" t="s">
        <v>615</v>
      </c>
      <c r="D465" s="338"/>
      <c r="E465" s="324"/>
    </row>
    <row r="466" spans="1:5" ht="15" x14ac:dyDescent="0.25">
      <c r="A466" s="1"/>
      <c r="B466" s="160"/>
      <c r="C466" s="322"/>
      <c r="D466" s="323"/>
      <c r="E466" s="324"/>
    </row>
    <row r="467" spans="1:5" ht="72.75" x14ac:dyDescent="0.2">
      <c r="A467" s="4" t="s">
        <v>12</v>
      </c>
      <c r="B467" s="299"/>
      <c r="C467" s="322" t="s">
        <v>616</v>
      </c>
      <c r="D467" s="323"/>
      <c r="E467" s="373"/>
    </row>
    <row r="468" spans="1:5" x14ac:dyDescent="0.2">
      <c r="A468" s="4"/>
      <c r="B468" s="299"/>
      <c r="C468" s="322"/>
      <c r="D468" s="323"/>
      <c r="E468" s="373"/>
    </row>
    <row r="469" spans="1:5" ht="55.15" customHeight="1" x14ac:dyDescent="0.2">
      <c r="A469" s="4"/>
      <c r="B469" s="299"/>
      <c r="C469" s="337" t="s">
        <v>617</v>
      </c>
      <c r="D469" s="338"/>
      <c r="E469" s="373"/>
    </row>
    <row r="470" spans="1:5" x14ac:dyDescent="0.2">
      <c r="A470" s="4"/>
      <c r="B470" s="299"/>
      <c r="C470" s="322" t="s">
        <v>470</v>
      </c>
      <c r="D470" s="323"/>
      <c r="E470" s="373"/>
    </row>
    <row r="471" spans="1:5" ht="15" x14ac:dyDescent="0.25">
      <c r="A471" s="1"/>
      <c r="B471" s="160"/>
      <c r="C471" s="337" t="s">
        <v>618</v>
      </c>
      <c r="D471" s="338"/>
      <c r="E471" s="324"/>
    </row>
    <row r="472" spans="1:5" ht="15" x14ac:dyDescent="0.2">
      <c r="A472" s="4"/>
      <c r="B472" s="299"/>
      <c r="C472" s="339"/>
      <c r="D472" s="340"/>
      <c r="E472" s="373"/>
    </row>
    <row r="473" spans="1:5" ht="97.15" customHeight="1" x14ac:dyDescent="0.25">
      <c r="A473" s="1" t="s">
        <v>13</v>
      </c>
      <c r="B473" s="160"/>
      <c r="C473" s="322" t="s">
        <v>619</v>
      </c>
      <c r="D473" s="323"/>
      <c r="E473" s="324"/>
    </row>
    <row r="474" spans="1:5" ht="15" x14ac:dyDescent="0.25">
      <c r="A474" s="1"/>
      <c r="B474" s="160"/>
      <c r="C474" s="322"/>
      <c r="D474" s="323"/>
      <c r="E474" s="324"/>
    </row>
    <row r="475" spans="1:5" ht="51" customHeight="1" x14ac:dyDescent="0.25">
      <c r="A475" s="1" t="s">
        <v>14</v>
      </c>
      <c r="B475" s="160"/>
      <c r="C475" s="322" t="s">
        <v>620</v>
      </c>
      <c r="D475" s="323"/>
      <c r="E475" s="324"/>
    </row>
    <row r="476" spans="1:5" ht="15" x14ac:dyDescent="0.2">
      <c r="A476" s="4"/>
      <c r="B476" s="299"/>
      <c r="C476" s="305"/>
      <c r="D476" s="305"/>
      <c r="E476" s="373"/>
    </row>
    <row r="477" spans="1:5" ht="15" x14ac:dyDescent="0.2">
      <c r="A477" s="4"/>
      <c r="B477" s="299"/>
      <c r="C477" s="305"/>
      <c r="D477" s="305"/>
      <c r="E477" s="373"/>
    </row>
    <row r="478" spans="1:5" x14ac:dyDescent="0.2">
      <c r="A478" s="4"/>
      <c r="B478" s="299"/>
      <c r="C478" s="307"/>
      <c r="D478" s="307"/>
      <c r="E478" s="324"/>
    </row>
    <row r="479" spans="1:5" x14ac:dyDescent="0.2">
      <c r="A479" s="161"/>
      <c r="B479" s="157"/>
      <c r="C479" s="157"/>
      <c r="D479" s="157"/>
      <c r="E479" s="329"/>
    </row>
    <row r="480" spans="1:5" ht="15" x14ac:dyDescent="0.25">
      <c r="A480" s="197"/>
      <c r="B480" s="188"/>
      <c r="C480" s="166"/>
      <c r="D480" s="166"/>
      <c r="E480" s="330"/>
    </row>
    <row r="481" spans="1:5" ht="15.75" thickBot="1" x14ac:dyDescent="0.3">
      <c r="A481" s="190"/>
      <c r="B481" s="188"/>
      <c r="C481" s="164" t="s">
        <v>6</v>
      </c>
      <c r="D481" s="164"/>
      <c r="E481" s="331">
        <f>SUM(E457:E480)</f>
        <v>0</v>
      </c>
    </row>
    <row r="482" spans="1:5" ht="15" thickTop="1" x14ac:dyDescent="0.2"/>
    <row r="483" spans="1:5" x14ac:dyDescent="0.2">
      <c r="D483" s="157"/>
      <c r="E483" s="318"/>
    </row>
    <row r="484" spans="1:5" ht="15" x14ac:dyDescent="0.25">
      <c r="A484" s="309"/>
      <c r="B484" s="159"/>
      <c r="C484" s="159"/>
      <c r="D484" s="160"/>
      <c r="E484" s="319"/>
    </row>
    <row r="485" spans="1:5" ht="15" x14ac:dyDescent="0.25">
      <c r="A485" s="161"/>
      <c r="B485" s="162"/>
      <c r="C485" s="162" t="s">
        <v>0</v>
      </c>
      <c r="D485" s="162"/>
      <c r="E485" s="320" t="s">
        <v>5</v>
      </c>
    </row>
    <row r="486" spans="1:5" ht="15" x14ac:dyDescent="0.25">
      <c r="A486" s="1"/>
      <c r="B486" s="160"/>
      <c r="C486" s="301"/>
      <c r="D486" s="301"/>
      <c r="E486" s="321"/>
    </row>
    <row r="487" spans="1:5" ht="15" x14ac:dyDescent="0.25">
      <c r="A487" s="1"/>
      <c r="B487" s="160"/>
      <c r="C487" s="337" t="s">
        <v>621</v>
      </c>
      <c r="D487" s="338"/>
      <c r="E487" s="324"/>
    </row>
    <row r="488" spans="1:5" ht="15" x14ac:dyDescent="0.25">
      <c r="A488" s="1"/>
      <c r="B488" s="160"/>
      <c r="C488" s="322"/>
      <c r="D488" s="323"/>
      <c r="E488" s="324"/>
    </row>
    <row r="489" spans="1:5" ht="39" customHeight="1" x14ac:dyDescent="0.25">
      <c r="A489" s="1" t="s">
        <v>9</v>
      </c>
      <c r="B489" s="160"/>
      <c r="C489" s="322" t="s">
        <v>622</v>
      </c>
      <c r="D489" s="323"/>
      <c r="E489" s="324"/>
    </row>
    <row r="490" spans="1:5" ht="15" x14ac:dyDescent="0.25">
      <c r="A490" s="1"/>
      <c r="B490" s="160"/>
      <c r="C490" s="322"/>
      <c r="D490" s="323"/>
      <c r="E490" s="324"/>
    </row>
    <row r="491" spans="1:5" ht="80.45" customHeight="1" x14ac:dyDescent="0.25">
      <c r="A491" s="1" t="s">
        <v>10</v>
      </c>
      <c r="B491" s="160"/>
      <c r="C491" s="322" t="s">
        <v>623</v>
      </c>
      <c r="D491" s="323"/>
      <c r="E491" s="324"/>
    </row>
    <row r="492" spans="1:5" ht="15" x14ac:dyDescent="0.25">
      <c r="A492" s="1"/>
      <c r="B492" s="160"/>
      <c r="C492" s="322"/>
      <c r="D492" s="323"/>
      <c r="E492" s="324"/>
    </row>
    <row r="493" spans="1:5" ht="15" x14ac:dyDescent="0.25">
      <c r="A493" s="1"/>
      <c r="B493" s="160"/>
      <c r="C493" s="337" t="s">
        <v>624</v>
      </c>
      <c r="D493" s="338"/>
      <c r="E493" s="324"/>
    </row>
    <row r="494" spans="1:5" ht="15" x14ac:dyDescent="0.25">
      <c r="A494" s="1"/>
      <c r="B494" s="160"/>
      <c r="C494" s="339"/>
      <c r="D494" s="340"/>
      <c r="E494" s="324"/>
    </row>
    <row r="495" spans="1:5" ht="71.25" x14ac:dyDescent="0.25">
      <c r="A495" s="1" t="s">
        <v>11</v>
      </c>
      <c r="B495" s="160"/>
      <c r="C495" s="322" t="s">
        <v>625</v>
      </c>
      <c r="D495" s="323"/>
      <c r="E495" s="324"/>
    </row>
    <row r="496" spans="1:5" ht="15" x14ac:dyDescent="0.25">
      <c r="A496" s="1"/>
      <c r="B496" s="160"/>
      <c r="C496" s="322"/>
      <c r="D496" s="323"/>
      <c r="E496" s="324"/>
    </row>
    <row r="497" spans="1:5" ht="15" x14ac:dyDescent="0.25">
      <c r="A497" s="1"/>
      <c r="B497" s="160"/>
      <c r="C497" s="337" t="s">
        <v>626</v>
      </c>
      <c r="D497" s="338"/>
      <c r="E497" s="324"/>
    </row>
    <row r="498" spans="1:5" ht="15" x14ac:dyDescent="0.25">
      <c r="A498" s="1"/>
      <c r="B498" s="160"/>
      <c r="C498" s="339"/>
      <c r="D498" s="340"/>
      <c r="E498" s="324"/>
    </row>
    <row r="499" spans="1:5" ht="57" x14ac:dyDescent="0.2">
      <c r="A499" s="4" t="s">
        <v>12</v>
      </c>
      <c r="B499" s="299"/>
      <c r="C499" s="322" t="s">
        <v>627</v>
      </c>
      <c r="D499" s="323"/>
      <c r="E499" s="373"/>
    </row>
    <row r="500" spans="1:5" x14ac:dyDescent="0.2">
      <c r="A500" s="4"/>
      <c r="B500" s="299"/>
      <c r="C500" s="322"/>
      <c r="D500" s="323"/>
      <c r="E500" s="373"/>
    </row>
    <row r="501" spans="1:5" ht="15" x14ac:dyDescent="0.2">
      <c r="A501" s="4"/>
      <c r="B501" s="299"/>
      <c r="C501" s="337" t="s">
        <v>628</v>
      </c>
      <c r="D501" s="338"/>
      <c r="E501" s="373"/>
    </row>
    <row r="502" spans="1:5" ht="15" x14ac:dyDescent="0.2">
      <c r="A502" s="4"/>
      <c r="B502" s="299"/>
      <c r="C502" s="339"/>
      <c r="D502" s="340"/>
      <c r="E502" s="373"/>
    </row>
    <row r="503" spans="1:5" ht="49.9" customHeight="1" x14ac:dyDescent="0.25">
      <c r="A503" s="1" t="s">
        <v>13</v>
      </c>
      <c r="B503" s="160"/>
      <c r="C503" s="322" t="s">
        <v>629</v>
      </c>
      <c r="D503" s="323"/>
      <c r="E503" s="324"/>
    </row>
    <row r="504" spans="1:5" x14ac:dyDescent="0.2">
      <c r="A504" s="4"/>
      <c r="B504" s="299"/>
      <c r="C504" s="322"/>
      <c r="D504" s="323"/>
      <c r="E504" s="373"/>
    </row>
    <row r="505" spans="1:5" ht="30.6" customHeight="1" x14ac:dyDescent="0.25">
      <c r="A505" s="1" t="s">
        <v>14</v>
      </c>
      <c r="B505" s="160"/>
      <c r="C505" s="345" t="s">
        <v>630</v>
      </c>
      <c r="D505" s="344"/>
      <c r="E505" s="324"/>
    </row>
    <row r="506" spans="1:5" x14ac:dyDescent="0.2">
      <c r="A506" s="4"/>
      <c r="B506" s="299"/>
      <c r="C506" s="307"/>
      <c r="D506" s="307"/>
      <c r="E506" s="324"/>
    </row>
    <row r="507" spans="1:5" ht="15" x14ac:dyDescent="0.2">
      <c r="A507" s="4"/>
      <c r="B507" s="299"/>
      <c r="C507" s="305"/>
      <c r="D507" s="305"/>
      <c r="E507" s="373"/>
    </row>
    <row r="508" spans="1:5" ht="15" x14ac:dyDescent="0.2">
      <c r="A508" s="4"/>
      <c r="B508" s="299"/>
      <c r="C508" s="305"/>
      <c r="D508" s="305"/>
      <c r="E508" s="373"/>
    </row>
    <row r="509" spans="1:5" ht="15" x14ac:dyDescent="0.2">
      <c r="A509" s="4"/>
      <c r="B509" s="299"/>
      <c r="C509" s="305"/>
      <c r="D509" s="305"/>
      <c r="E509" s="373"/>
    </row>
    <row r="510" spans="1:5" ht="15" x14ac:dyDescent="0.2">
      <c r="A510" s="4"/>
      <c r="B510" s="299"/>
      <c r="C510" s="305"/>
      <c r="D510" s="305"/>
      <c r="E510" s="373"/>
    </row>
    <row r="511" spans="1:5" ht="15" x14ac:dyDescent="0.2">
      <c r="A511" s="4"/>
      <c r="B511" s="299"/>
      <c r="C511" s="305"/>
      <c r="D511" s="305"/>
      <c r="E511" s="373"/>
    </row>
    <row r="512" spans="1:5" ht="15" x14ac:dyDescent="0.2">
      <c r="A512" s="4"/>
      <c r="B512" s="299"/>
      <c r="C512" s="305"/>
      <c r="D512" s="305"/>
      <c r="E512" s="373"/>
    </row>
    <row r="513" spans="1:5" x14ac:dyDescent="0.2">
      <c r="A513" s="4"/>
      <c r="B513" s="299"/>
      <c r="C513" s="307"/>
      <c r="D513" s="307"/>
      <c r="E513" s="324"/>
    </row>
    <row r="514" spans="1:5" x14ac:dyDescent="0.2">
      <c r="A514" s="4"/>
      <c r="B514" s="299"/>
      <c r="C514" s="307"/>
      <c r="D514" s="307"/>
      <c r="E514" s="324"/>
    </row>
    <row r="515" spans="1:5" x14ac:dyDescent="0.2">
      <c r="A515" s="4"/>
      <c r="B515" s="299"/>
      <c r="C515" s="307"/>
      <c r="D515" s="307"/>
      <c r="E515" s="324"/>
    </row>
    <row r="516" spans="1:5" x14ac:dyDescent="0.2">
      <c r="A516" s="161"/>
      <c r="B516" s="157"/>
      <c r="C516" s="157"/>
      <c r="D516" s="157"/>
      <c r="E516" s="329"/>
    </row>
    <row r="517" spans="1:5" ht="15" x14ac:dyDescent="0.25">
      <c r="A517" s="197"/>
      <c r="B517" s="188"/>
      <c r="C517" s="166"/>
      <c r="D517" s="166"/>
      <c r="E517" s="330"/>
    </row>
    <row r="518" spans="1:5" ht="15.75" thickBot="1" x14ac:dyDescent="0.3">
      <c r="A518" s="190"/>
      <c r="B518" s="188"/>
      <c r="C518" s="164" t="s">
        <v>6</v>
      </c>
      <c r="D518" s="164"/>
      <c r="E518" s="331">
        <f>SUM(E489:E517)</f>
        <v>0</v>
      </c>
    </row>
    <row r="519" spans="1:5" ht="15" thickTop="1" x14ac:dyDescent="0.2"/>
    <row r="520" spans="1:5" x14ac:dyDescent="0.2">
      <c r="D520" s="157"/>
      <c r="E520" s="318"/>
    </row>
    <row r="521" spans="1:5" ht="15" x14ac:dyDescent="0.25">
      <c r="A521" s="309"/>
      <c r="B521" s="159"/>
      <c r="C521" s="159"/>
      <c r="D521" s="160"/>
      <c r="E521" s="319"/>
    </row>
    <row r="522" spans="1:5" ht="15" x14ac:dyDescent="0.25">
      <c r="A522" s="161"/>
      <c r="B522" s="162"/>
      <c r="C522" s="162" t="s">
        <v>0</v>
      </c>
      <c r="D522" s="162"/>
      <c r="E522" s="320" t="s">
        <v>5</v>
      </c>
    </row>
    <row r="523" spans="1:5" ht="15" x14ac:dyDescent="0.25">
      <c r="A523" s="1"/>
      <c r="B523" s="160"/>
      <c r="C523" s="301"/>
      <c r="D523" s="301"/>
      <c r="E523" s="321"/>
    </row>
    <row r="524" spans="1:5" ht="15" x14ac:dyDescent="0.25">
      <c r="A524" s="1"/>
      <c r="B524" s="160"/>
      <c r="C524" s="337" t="s">
        <v>631</v>
      </c>
      <c r="D524" s="338"/>
      <c r="E524" s="324"/>
    </row>
    <row r="525" spans="1:5" ht="15" x14ac:dyDescent="0.25">
      <c r="A525" s="1"/>
      <c r="B525" s="160"/>
      <c r="C525" s="322"/>
      <c r="D525" s="323"/>
      <c r="E525" s="324"/>
    </row>
    <row r="526" spans="1:5" ht="42.75" x14ac:dyDescent="0.25">
      <c r="A526" s="1" t="s">
        <v>9</v>
      </c>
      <c r="B526" s="160"/>
      <c r="C526" s="322" t="s">
        <v>632</v>
      </c>
      <c r="D526" s="323"/>
      <c r="E526" s="324"/>
    </row>
    <row r="527" spans="1:5" ht="15" x14ac:dyDescent="0.25">
      <c r="A527" s="1"/>
      <c r="B527" s="160"/>
      <c r="C527" s="322"/>
      <c r="D527" s="323"/>
      <c r="E527" s="324"/>
    </row>
    <row r="528" spans="1:5" ht="38.25" customHeight="1" x14ac:dyDescent="0.25">
      <c r="A528" s="1" t="s">
        <v>10</v>
      </c>
      <c r="B528" s="160"/>
      <c r="C528" s="322" t="s">
        <v>633</v>
      </c>
      <c r="D528" s="323"/>
      <c r="E528" s="324"/>
    </row>
    <row r="529" spans="1:5" ht="15" x14ac:dyDescent="0.25">
      <c r="A529" s="1"/>
      <c r="B529" s="160"/>
      <c r="C529" s="322"/>
      <c r="D529" s="323"/>
      <c r="E529" s="324"/>
    </row>
    <row r="530" spans="1:5" ht="42.75" x14ac:dyDescent="0.25">
      <c r="A530" s="1" t="s">
        <v>11</v>
      </c>
      <c r="B530" s="160"/>
      <c r="C530" s="322" t="s">
        <v>634</v>
      </c>
      <c r="D530" s="323"/>
      <c r="E530" s="324"/>
    </row>
    <row r="531" spans="1:5" ht="15" x14ac:dyDescent="0.25">
      <c r="A531" s="1"/>
      <c r="B531" s="160"/>
      <c r="C531" s="339"/>
      <c r="D531" s="340"/>
      <c r="E531" s="324"/>
    </row>
    <row r="532" spans="1:5" ht="15" x14ac:dyDescent="0.25">
      <c r="A532" s="1"/>
      <c r="B532" s="160"/>
      <c r="C532" s="337" t="s">
        <v>635</v>
      </c>
      <c r="D532" s="338"/>
      <c r="E532" s="324"/>
    </row>
    <row r="533" spans="1:5" ht="9" customHeight="1" x14ac:dyDescent="0.25">
      <c r="A533" s="1"/>
      <c r="B533" s="160"/>
      <c r="C533" s="339"/>
      <c r="D533" s="340"/>
      <c r="E533" s="324"/>
    </row>
    <row r="534" spans="1:5" ht="42.75" x14ac:dyDescent="0.25">
      <c r="A534" s="1" t="s">
        <v>12</v>
      </c>
      <c r="B534" s="160"/>
      <c r="C534" s="322" t="s">
        <v>636</v>
      </c>
      <c r="D534" s="323"/>
      <c r="E534" s="324"/>
    </row>
    <row r="535" spans="1:5" ht="15" x14ac:dyDescent="0.25">
      <c r="A535" s="1"/>
      <c r="B535" s="160"/>
      <c r="C535" s="322"/>
      <c r="D535" s="323"/>
      <c r="E535" s="324"/>
    </row>
    <row r="536" spans="1:5" ht="15" x14ac:dyDescent="0.2">
      <c r="A536" s="4"/>
      <c r="B536" s="299"/>
      <c r="C536" s="337" t="s">
        <v>637</v>
      </c>
      <c r="D536" s="338"/>
      <c r="E536" s="373"/>
    </row>
    <row r="537" spans="1:5" ht="15" x14ac:dyDescent="0.2">
      <c r="A537" s="4"/>
      <c r="B537" s="299"/>
      <c r="C537" s="339"/>
      <c r="D537" s="340"/>
      <c r="E537" s="373"/>
    </row>
    <row r="538" spans="1:5" ht="28.5" x14ac:dyDescent="0.2">
      <c r="A538" s="4" t="s">
        <v>13</v>
      </c>
      <c r="B538" s="299"/>
      <c r="C538" s="322" t="s">
        <v>638</v>
      </c>
      <c r="D538" s="323"/>
      <c r="E538" s="373"/>
    </row>
    <row r="539" spans="1:5" x14ac:dyDescent="0.2">
      <c r="A539" s="4"/>
      <c r="B539" s="299"/>
      <c r="C539" s="322"/>
      <c r="D539" s="323"/>
      <c r="E539" s="373"/>
    </row>
    <row r="540" spans="1:5" ht="28.5" x14ac:dyDescent="0.25">
      <c r="A540" s="1" t="s">
        <v>14</v>
      </c>
      <c r="B540" s="160"/>
      <c r="C540" s="322" t="s">
        <v>639</v>
      </c>
      <c r="D540" s="323"/>
      <c r="E540" s="324"/>
    </row>
    <row r="541" spans="1:5" x14ac:dyDescent="0.2">
      <c r="A541" s="4"/>
      <c r="B541" s="299"/>
      <c r="C541" s="322"/>
      <c r="D541" s="323"/>
      <c r="E541" s="373"/>
    </row>
    <row r="542" spans="1:5" ht="15" x14ac:dyDescent="0.25">
      <c r="A542" s="1"/>
      <c r="B542" s="160"/>
      <c r="C542" s="337" t="s">
        <v>640</v>
      </c>
      <c r="D542" s="338"/>
      <c r="E542" s="324"/>
    </row>
    <row r="543" spans="1:5" ht="15" x14ac:dyDescent="0.25">
      <c r="A543" s="1"/>
      <c r="B543" s="160"/>
      <c r="C543" s="322"/>
      <c r="D543" s="323"/>
      <c r="E543" s="324"/>
    </row>
    <row r="544" spans="1:5" ht="146.44999999999999" customHeight="1" x14ac:dyDescent="0.25">
      <c r="A544" s="1" t="s">
        <v>15</v>
      </c>
      <c r="B544" s="160"/>
      <c r="C544" s="375" t="s">
        <v>752</v>
      </c>
      <c r="D544" s="351"/>
      <c r="E544" s="324"/>
    </row>
    <row r="545" spans="1:5" ht="9.75" customHeight="1" x14ac:dyDescent="0.25">
      <c r="A545" s="1"/>
      <c r="B545" s="160"/>
      <c r="C545" s="322"/>
      <c r="D545" s="323"/>
      <c r="E545" s="324"/>
    </row>
    <row r="546" spans="1:5" ht="15" x14ac:dyDescent="0.25">
      <c r="A546" s="1"/>
      <c r="B546" s="160"/>
      <c r="C546" s="337" t="s">
        <v>641</v>
      </c>
      <c r="D546" s="338"/>
      <c r="E546" s="324"/>
    </row>
    <row r="547" spans="1:5" ht="15" x14ac:dyDescent="0.25">
      <c r="A547" s="1"/>
      <c r="B547" s="160"/>
      <c r="C547" s="339"/>
      <c r="D547" s="340"/>
      <c r="E547" s="324"/>
    </row>
    <row r="548" spans="1:5" ht="29.25" x14ac:dyDescent="0.25">
      <c r="A548" s="1" t="s">
        <v>16</v>
      </c>
      <c r="B548" s="160"/>
      <c r="C548" s="345" t="s">
        <v>642</v>
      </c>
      <c r="D548" s="344"/>
      <c r="E548" s="324"/>
    </row>
    <row r="549" spans="1:5" ht="15" x14ac:dyDescent="0.25">
      <c r="A549" s="1"/>
      <c r="B549" s="160"/>
      <c r="C549" s="345"/>
      <c r="D549" s="344"/>
      <c r="E549" s="324"/>
    </row>
    <row r="550" spans="1:5" x14ac:dyDescent="0.2">
      <c r="A550" s="161"/>
      <c r="B550" s="157"/>
      <c r="C550" s="157"/>
      <c r="D550" s="157"/>
      <c r="E550" s="329"/>
    </row>
    <row r="551" spans="1:5" ht="15" x14ac:dyDescent="0.25">
      <c r="A551" s="197"/>
      <c r="B551" s="188"/>
      <c r="C551" s="166"/>
      <c r="D551" s="166"/>
      <c r="E551" s="330"/>
    </row>
    <row r="552" spans="1:5" ht="15.75" thickBot="1" x14ac:dyDescent="0.3">
      <c r="A552" s="190"/>
      <c r="B552" s="188"/>
      <c r="C552" s="164" t="s">
        <v>6</v>
      </c>
      <c r="D552" s="164"/>
      <c r="E552" s="331">
        <f>SUM(E526:E551)</f>
        <v>0</v>
      </c>
    </row>
    <row r="553" spans="1:5" ht="15" thickTop="1" x14ac:dyDescent="0.2"/>
    <row r="554" spans="1:5" x14ac:dyDescent="0.2">
      <c r="D554" s="157"/>
      <c r="E554" s="318"/>
    </row>
    <row r="555" spans="1:5" ht="15" x14ac:dyDescent="0.25">
      <c r="A555" s="309"/>
      <c r="B555" s="159"/>
      <c r="C555" s="159"/>
      <c r="D555" s="160"/>
      <c r="E555" s="319"/>
    </row>
    <row r="556" spans="1:5" ht="15" x14ac:dyDescent="0.25">
      <c r="A556" s="161"/>
      <c r="B556" s="162"/>
      <c r="C556" s="162" t="s">
        <v>0</v>
      </c>
      <c r="D556" s="162"/>
      <c r="E556" s="320" t="s">
        <v>5</v>
      </c>
    </row>
    <row r="557" spans="1:5" ht="15" x14ac:dyDescent="0.25">
      <c r="A557" s="1"/>
      <c r="B557" s="160"/>
      <c r="C557" s="301"/>
      <c r="D557" s="301"/>
      <c r="E557" s="321"/>
    </row>
    <row r="558" spans="1:5" ht="15" x14ac:dyDescent="0.25">
      <c r="A558" s="1"/>
      <c r="B558" s="160"/>
      <c r="C558" s="337" t="s">
        <v>643</v>
      </c>
      <c r="D558" s="338"/>
      <c r="E558" s="324"/>
    </row>
    <row r="559" spans="1:5" ht="15" x14ac:dyDescent="0.25">
      <c r="A559" s="1"/>
      <c r="B559" s="160"/>
      <c r="C559" s="339"/>
      <c r="D559" s="340"/>
      <c r="E559" s="324"/>
    </row>
    <row r="560" spans="1:5" ht="28.5" x14ac:dyDescent="0.25">
      <c r="A560" s="1" t="s">
        <v>9</v>
      </c>
      <c r="B560" s="160"/>
      <c r="C560" s="322" t="s">
        <v>644</v>
      </c>
      <c r="D560" s="323"/>
      <c r="E560" s="324"/>
    </row>
    <row r="561" spans="1:5" ht="15" x14ac:dyDescent="0.25">
      <c r="A561" s="1"/>
      <c r="B561" s="160"/>
      <c r="C561" s="322"/>
      <c r="D561" s="323"/>
      <c r="E561" s="324"/>
    </row>
    <row r="562" spans="1:5" ht="15" x14ac:dyDescent="0.25">
      <c r="A562" s="1"/>
      <c r="B562" s="160"/>
      <c r="C562" s="337" t="s">
        <v>645</v>
      </c>
      <c r="D562" s="338"/>
      <c r="E562" s="324"/>
    </row>
    <row r="563" spans="1:5" ht="15" x14ac:dyDescent="0.25">
      <c r="A563" s="1"/>
      <c r="B563" s="160"/>
      <c r="C563" s="339"/>
      <c r="D563" s="340"/>
      <c r="E563" s="324"/>
    </row>
    <row r="564" spans="1:5" ht="28.5" x14ac:dyDescent="0.25">
      <c r="A564" s="1" t="s">
        <v>10</v>
      </c>
      <c r="B564" s="160"/>
      <c r="C564" s="322" t="s">
        <v>646</v>
      </c>
      <c r="D564" s="323"/>
      <c r="E564" s="324"/>
    </row>
    <row r="565" spans="1:5" ht="15" x14ac:dyDescent="0.25">
      <c r="A565" s="1"/>
      <c r="B565" s="160"/>
      <c r="C565" s="322"/>
      <c r="D565" s="323"/>
      <c r="E565" s="324"/>
    </row>
    <row r="566" spans="1:5" ht="57" x14ac:dyDescent="0.25">
      <c r="A566" s="1" t="s">
        <v>11</v>
      </c>
      <c r="B566" s="160"/>
      <c r="C566" s="322" t="s">
        <v>647</v>
      </c>
      <c r="D566" s="323"/>
      <c r="E566" s="324"/>
    </row>
    <row r="567" spans="1:5" ht="15" x14ac:dyDescent="0.25">
      <c r="A567" s="1"/>
      <c r="B567" s="160"/>
      <c r="C567" s="322"/>
      <c r="D567" s="323"/>
      <c r="E567" s="324"/>
    </row>
    <row r="568" spans="1:5" ht="15" x14ac:dyDescent="0.25">
      <c r="A568" s="1"/>
      <c r="B568" s="160"/>
      <c r="C568" s="337" t="s">
        <v>648</v>
      </c>
      <c r="D568" s="338"/>
      <c r="E568" s="324"/>
    </row>
    <row r="569" spans="1:5" ht="15" x14ac:dyDescent="0.25">
      <c r="A569" s="1"/>
      <c r="B569" s="160"/>
      <c r="C569" s="339"/>
      <c r="D569" s="340"/>
      <c r="E569" s="324"/>
    </row>
    <row r="570" spans="1:5" ht="109.15" customHeight="1" x14ac:dyDescent="0.2">
      <c r="A570" s="4" t="s">
        <v>12</v>
      </c>
      <c r="B570" s="299"/>
      <c r="C570" s="322" t="s">
        <v>649</v>
      </c>
      <c r="D570" s="323"/>
      <c r="E570" s="373"/>
    </row>
    <row r="571" spans="1:5" ht="15" x14ac:dyDescent="0.25">
      <c r="A571" s="1"/>
      <c r="B571" s="160"/>
      <c r="C571" s="325"/>
      <c r="D571" s="326"/>
      <c r="E571" s="324"/>
    </row>
    <row r="572" spans="1:5" ht="15" x14ac:dyDescent="0.25">
      <c r="A572" s="1"/>
      <c r="B572" s="160"/>
      <c r="C572" s="325"/>
      <c r="D572" s="326"/>
      <c r="E572" s="324"/>
    </row>
    <row r="573" spans="1:5" ht="15" x14ac:dyDescent="0.25">
      <c r="A573" s="1"/>
      <c r="B573" s="160"/>
      <c r="C573" s="325"/>
      <c r="D573" s="326"/>
      <c r="E573" s="324"/>
    </row>
    <row r="574" spans="1:5" ht="15" x14ac:dyDescent="0.25">
      <c r="A574" s="1"/>
      <c r="B574" s="160"/>
      <c r="C574" s="325"/>
      <c r="D574" s="326"/>
      <c r="E574" s="324"/>
    </row>
    <row r="575" spans="1:5" ht="15" x14ac:dyDescent="0.25">
      <c r="A575" s="1"/>
      <c r="B575" s="160"/>
      <c r="C575" s="325"/>
      <c r="D575" s="326"/>
      <c r="E575" s="324"/>
    </row>
    <row r="576" spans="1:5" ht="15" x14ac:dyDescent="0.25">
      <c r="A576" s="1"/>
      <c r="B576" s="160"/>
      <c r="C576" s="325"/>
      <c r="D576" s="326"/>
      <c r="E576" s="324"/>
    </row>
    <row r="577" spans="1:5" ht="15" x14ac:dyDescent="0.25">
      <c r="A577" s="1"/>
      <c r="B577" s="160"/>
      <c r="C577" s="325"/>
      <c r="D577" s="326"/>
      <c r="E577" s="324"/>
    </row>
    <row r="578" spans="1:5" ht="15" x14ac:dyDescent="0.25">
      <c r="A578" s="1"/>
      <c r="B578" s="160"/>
      <c r="C578" s="325"/>
      <c r="D578" s="326"/>
      <c r="E578" s="324"/>
    </row>
    <row r="579" spans="1:5" ht="15" x14ac:dyDescent="0.25">
      <c r="A579" s="1"/>
      <c r="B579" s="160"/>
      <c r="C579" s="325"/>
      <c r="D579" s="326"/>
      <c r="E579" s="324"/>
    </row>
    <row r="580" spans="1:5" ht="15" x14ac:dyDescent="0.25">
      <c r="A580" s="1"/>
      <c r="B580" s="160"/>
      <c r="C580" s="325"/>
      <c r="D580" s="326"/>
      <c r="E580" s="324"/>
    </row>
    <row r="581" spans="1:5" ht="15" x14ac:dyDescent="0.25">
      <c r="A581" s="1"/>
      <c r="B581" s="160"/>
      <c r="C581" s="325"/>
      <c r="D581" s="326"/>
      <c r="E581" s="324"/>
    </row>
    <row r="582" spans="1:5" ht="15" x14ac:dyDescent="0.25">
      <c r="A582" s="1"/>
      <c r="B582" s="160"/>
      <c r="C582" s="327"/>
      <c r="D582" s="327"/>
      <c r="E582" s="324"/>
    </row>
    <row r="583" spans="1:5" ht="15" x14ac:dyDescent="0.25">
      <c r="A583" s="1"/>
      <c r="B583" s="160"/>
      <c r="C583" s="328"/>
      <c r="D583" s="328"/>
      <c r="E583" s="324"/>
    </row>
    <row r="584" spans="1:5" ht="15" x14ac:dyDescent="0.2">
      <c r="A584" s="4"/>
      <c r="B584" s="299"/>
      <c r="C584" s="306"/>
      <c r="D584" s="306"/>
      <c r="E584" s="373"/>
    </row>
    <row r="585" spans="1:5" ht="15" x14ac:dyDescent="0.2">
      <c r="A585" s="4"/>
      <c r="B585" s="299"/>
      <c r="C585" s="305"/>
      <c r="D585" s="305"/>
      <c r="E585" s="373"/>
    </row>
    <row r="586" spans="1:5" x14ac:dyDescent="0.2">
      <c r="A586" s="4"/>
      <c r="B586" s="299"/>
      <c r="C586" s="307"/>
      <c r="D586" s="307"/>
      <c r="E586" s="324"/>
    </row>
    <row r="587" spans="1:5" x14ac:dyDescent="0.2">
      <c r="A587" s="4"/>
      <c r="B587" s="299"/>
      <c r="C587" s="307"/>
      <c r="D587" s="307"/>
      <c r="E587" s="324"/>
    </row>
    <row r="588" spans="1:5" x14ac:dyDescent="0.2">
      <c r="A588" s="4"/>
      <c r="B588" s="299"/>
      <c r="C588" s="307"/>
      <c r="D588" s="307"/>
      <c r="E588" s="324"/>
    </row>
    <row r="589" spans="1:5" ht="15" x14ac:dyDescent="0.2">
      <c r="A589" s="4"/>
      <c r="B589" s="299"/>
      <c r="C589" s="305"/>
      <c r="D589" s="305"/>
      <c r="E589" s="373"/>
    </row>
    <row r="590" spans="1:5" x14ac:dyDescent="0.2">
      <c r="A590" s="4"/>
      <c r="B590" s="299"/>
      <c r="C590" s="307"/>
      <c r="D590" s="307"/>
      <c r="E590" s="324"/>
    </row>
    <row r="591" spans="1:5" x14ac:dyDescent="0.2">
      <c r="A591" s="4"/>
      <c r="B591" s="299"/>
      <c r="C591" s="307"/>
      <c r="D591" s="307"/>
      <c r="E591" s="324"/>
    </row>
    <row r="592" spans="1:5" x14ac:dyDescent="0.2">
      <c r="A592" s="161"/>
      <c r="B592" s="157"/>
      <c r="C592" s="157"/>
      <c r="D592" s="157"/>
      <c r="E592" s="329"/>
    </row>
    <row r="593" spans="1:5" ht="15" x14ac:dyDescent="0.25">
      <c r="A593" s="197"/>
      <c r="B593" s="188"/>
      <c r="C593" s="166"/>
      <c r="D593" s="166"/>
      <c r="E593" s="330"/>
    </row>
    <row r="594" spans="1:5" ht="15.75" thickBot="1" x14ac:dyDescent="0.3">
      <c r="A594" s="190"/>
      <c r="B594" s="188"/>
      <c r="C594" s="164" t="s">
        <v>6</v>
      </c>
      <c r="D594" s="164"/>
      <c r="E594" s="331">
        <f>SUM(E559:E593)</f>
        <v>0</v>
      </c>
    </row>
    <row r="595" spans="1:5" ht="15" thickTop="1" x14ac:dyDescent="0.2"/>
    <row r="596" spans="1:5" x14ac:dyDescent="0.2">
      <c r="D596" s="157"/>
      <c r="E596" s="318"/>
    </row>
    <row r="597" spans="1:5" ht="15" x14ac:dyDescent="0.25">
      <c r="A597" s="309"/>
      <c r="B597" s="159"/>
      <c r="C597" s="159"/>
      <c r="D597" s="160"/>
      <c r="E597" s="321"/>
    </row>
    <row r="598" spans="1:5" ht="15" x14ac:dyDescent="0.25">
      <c r="A598" s="161"/>
      <c r="B598" s="162"/>
      <c r="C598" s="162" t="s">
        <v>0</v>
      </c>
      <c r="D598" s="162"/>
      <c r="E598" s="320" t="s">
        <v>5</v>
      </c>
    </row>
    <row r="599" spans="1:5" ht="15" x14ac:dyDescent="0.25">
      <c r="A599" s="1"/>
      <c r="B599" s="160"/>
      <c r="C599" s="301"/>
      <c r="D599" s="301"/>
      <c r="E599" s="321"/>
    </row>
    <row r="600" spans="1:5" ht="15" x14ac:dyDescent="0.25">
      <c r="A600" s="1"/>
      <c r="B600" s="160"/>
      <c r="C600" s="337" t="s">
        <v>650</v>
      </c>
      <c r="D600" s="338"/>
      <c r="E600" s="324"/>
    </row>
    <row r="601" spans="1:5" ht="15" x14ac:dyDescent="0.25">
      <c r="A601" s="1"/>
      <c r="B601" s="160"/>
      <c r="C601" s="322"/>
      <c r="D601" s="323"/>
      <c r="E601" s="324"/>
    </row>
    <row r="602" spans="1:5" ht="77.45" customHeight="1" x14ac:dyDescent="0.25">
      <c r="A602" s="1" t="s">
        <v>9</v>
      </c>
      <c r="B602" s="160"/>
      <c r="C602" s="322" t="s">
        <v>651</v>
      </c>
      <c r="D602" s="323"/>
      <c r="E602" s="324"/>
    </row>
    <row r="603" spans="1:5" ht="15" x14ac:dyDescent="0.25">
      <c r="A603" s="1"/>
      <c r="B603" s="160"/>
      <c r="C603" s="322"/>
      <c r="D603" s="323"/>
      <c r="E603" s="324"/>
    </row>
    <row r="604" spans="1:5" ht="15" x14ac:dyDescent="0.25">
      <c r="A604" s="1"/>
      <c r="B604" s="160"/>
      <c r="C604" s="337" t="s">
        <v>652</v>
      </c>
      <c r="D604" s="338"/>
      <c r="E604" s="324"/>
    </row>
    <row r="605" spans="1:5" ht="15" x14ac:dyDescent="0.25">
      <c r="A605" s="1"/>
      <c r="B605" s="160"/>
      <c r="C605" s="322"/>
      <c r="D605" s="323"/>
      <c r="E605" s="324"/>
    </row>
    <row r="606" spans="1:5" ht="66.599999999999994" customHeight="1" x14ac:dyDescent="0.25">
      <c r="A606" s="1" t="s">
        <v>10</v>
      </c>
      <c r="B606" s="160"/>
      <c r="C606" s="322" t="s">
        <v>653</v>
      </c>
      <c r="D606" s="323"/>
      <c r="E606" s="324"/>
    </row>
    <row r="607" spans="1:5" ht="15" x14ac:dyDescent="0.25">
      <c r="A607" s="1"/>
      <c r="B607" s="160"/>
      <c r="C607" s="322"/>
      <c r="D607" s="323"/>
      <c r="E607" s="324"/>
    </row>
    <row r="608" spans="1:5" ht="54" customHeight="1" x14ac:dyDescent="0.25">
      <c r="A608" s="1" t="s">
        <v>11</v>
      </c>
      <c r="B608" s="160"/>
      <c r="C608" s="322" t="s">
        <v>654</v>
      </c>
      <c r="D608" s="323"/>
      <c r="E608" s="324"/>
    </row>
    <row r="609" spans="1:5" ht="15" x14ac:dyDescent="0.25">
      <c r="A609" s="1"/>
      <c r="B609" s="160"/>
      <c r="C609" s="322"/>
      <c r="D609" s="323"/>
      <c r="E609" s="324"/>
    </row>
    <row r="610" spans="1:5" ht="36" customHeight="1" x14ac:dyDescent="0.25">
      <c r="A610" s="1"/>
      <c r="B610" s="160"/>
      <c r="C610" s="337" t="s">
        <v>655</v>
      </c>
      <c r="D610" s="338"/>
      <c r="E610" s="324"/>
    </row>
    <row r="611" spans="1:5" ht="15" x14ac:dyDescent="0.25">
      <c r="A611" s="1"/>
      <c r="B611" s="160"/>
      <c r="C611" s="339"/>
      <c r="D611" s="340"/>
      <c r="E611" s="324"/>
    </row>
    <row r="612" spans="1:5" ht="56.45" customHeight="1" x14ac:dyDescent="0.2">
      <c r="A612" s="4" t="s">
        <v>12</v>
      </c>
      <c r="B612" s="299"/>
      <c r="C612" s="322" t="s">
        <v>656</v>
      </c>
      <c r="D612" s="323"/>
      <c r="E612" s="373"/>
    </row>
    <row r="613" spans="1:5" x14ac:dyDescent="0.2">
      <c r="A613" s="4"/>
      <c r="B613" s="299"/>
      <c r="C613" s="322"/>
      <c r="D613" s="323"/>
      <c r="E613" s="373"/>
    </row>
    <row r="614" spans="1:5" ht="28.5" x14ac:dyDescent="0.2">
      <c r="A614" s="4" t="s">
        <v>13</v>
      </c>
      <c r="B614" s="299"/>
      <c r="C614" s="322" t="s">
        <v>657</v>
      </c>
      <c r="D614" s="323"/>
      <c r="E614" s="373"/>
    </row>
    <row r="615" spans="1:5" ht="15" x14ac:dyDescent="0.25">
      <c r="A615" s="1"/>
      <c r="B615" s="160"/>
      <c r="C615" s="322"/>
      <c r="D615" s="323"/>
      <c r="E615" s="324"/>
    </row>
    <row r="616" spans="1:5" ht="15" x14ac:dyDescent="0.2">
      <c r="A616" s="4"/>
      <c r="B616" s="299"/>
      <c r="C616" s="337" t="s">
        <v>658</v>
      </c>
      <c r="D616" s="338"/>
      <c r="E616" s="373"/>
    </row>
    <row r="617" spans="1:5" ht="15" x14ac:dyDescent="0.25">
      <c r="A617" s="1"/>
      <c r="B617" s="160"/>
      <c r="C617" s="339"/>
      <c r="D617" s="340"/>
      <c r="E617" s="324"/>
    </row>
    <row r="618" spans="1:5" ht="42.75" x14ac:dyDescent="0.25">
      <c r="A618" s="1" t="s">
        <v>14</v>
      </c>
      <c r="B618" s="160"/>
      <c r="C618" s="322" t="s">
        <v>659</v>
      </c>
      <c r="D618" s="323"/>
      <c r="E618" s="324"/>
    </row>
    <row r="619" spans="1:5" ht="15" x14ac:dyDescent="0.25">
      <c r="A619" s="1"/>
      <c r="B619" s="160"/>
      <c r="C619" s="322"/>
      <c r="D619" s="323"/>
      <c r="E619" s="324"/>
    </row>
    <row r="620" spans="1:5" ht="15" x14ac:dyDescent="0.25">
      <c r="A620" s="1"/>
      <c r="B620" s="160"/>
      <c r="C620" s="337" t="s">
        <v>660</v>
      </c>
      <c r="D620" s="338"/>
      <c r="E620" s="324"/>
    </row>
    <row r="621" spans="1:5" ht="15" x14ac:dyDescent="0.25">
      <c r="A621" s="1"/>
      <c r="B621" s="160"/>
      <c r="C621" s="339"/>
      <c r="D621" s="340"/>
      <c r="E621" s="324"/>
    </row>
    <row r="622" spans="1:5" ht="45" x14ac:dyDescent="0.25">
      <c r="A622" s="1" t="s">
        <v>15</v>
      </c>
      <c r="B622" s="160"/>
      <c r="C622" s="339" t="s">
        <v>661</v>
      </c>
      <c r="D622" s="323"/>
      <c r="E622" s="324"/>
    </row>
    <row r="623" spans="1:5" ht="15" x14ac:dyDescent="0.2">
      <c r="A623" s="4"/>
      <c r="B623" s="299"/>
      <c r="C623" s="305"/>
      <c r="D623" s="305"/>
      <c r="E623" s="373"/>
    </row>
    <row r="624" spans="1:5" ht="15" x14ac:dyDescent="0.2">
      <c r="A624" s="4"/>
      <c r="B624" s="299"/>
      <c r="C624" s="305"/>
      <c r="D624" s="305"/>
      <c r="E624" s="373"/>
    </row>
    <row r="625" spans="1:5" ht="15" x14ac:dyDescent="0.2">
      <c r="A625" s="4"/>
      <c r="B625" s="299"/>
      <c r="C625" s="305"/>
      <c r="D625" s="305"/>
      <c r="E625" s="373"/>
    </row>
    <row r="626" spans="1:5" x14ac:dyDescent="0.2">
      <c r="A626" s="4"/>
      <c r="B626" s="299"/>
      <c r="C626" s="307"/>
      <c r="D626" s="307"/>
      <c r="E626" s="373"/>
    </row>
    <row r="627" spans="1:5" x14ac:dyDescent="0.2">
      <c r="A627" s="161"/>
      <c r="B627" s="157"/>
      <c r="C627" s="157"/>
      <c r="D627" s="157"/>
      <c r="E627" s="329"/>
    </row>
    <row r="628" spans="1:5" ht="15" x14ac:dyDescent="0.25">
      <c r="A628" s="197"/>
      <c r="B628" s="188"/>
      <c r="C628" s="166"/>
      <c r="D628" s="166"/>
      <c r="E628" s="330"/>
    </row>
    <row r="629" spans="1:5" ht="15.75" thickBot="1" x14ac:dyDescent="0.3">
      <c r="A629" s="190"/>
      <c r="B629" s="188"/>
      <c r="C629" s="164" t="s">
        <v>6</v>
      </c>
      <c r="D629" s="164"/>
      <c r="E629" s="331">
        <f>SUM(E602:E628)</f>
        <v>0</v>
      </c>
    </row>
    <row r="630" spans="1:5" ht="15" thickTop="1" x14ac:dyDescent="0.2">
      <c r="E630" s="346"/>
    </row>
    <row r="631" spans="1:5" x14ac:dyDescent="0.2">
      <c r="D631" s="157"/>
      <c r="E631" s="318"/>
    </row>
    <row r="632" spans="1:5" ht="15" x14ac:dyDescent="0.25">
      <c r="A632" s="309"/>
      <c r="B632" s="159"/>
      <c r="C632" s="159"/>
      <c r="D632" s="160"/>
      <c r="E632" s="319"/>
    </row>
    <row r="633" spans="1:5" ht="15" x14ac:dyDescent="0.25">
      <c r="A633" s="161"/>
      <c r="B633" s="162"/>
      <c r="C633" s="162" t="s">
        <v>0</v>
      </c>
      <c r="D633" s="162"/>
      <c r="E633" s="320" t="s">
        <v>5</v>
      </c>
    </row>
    <row r="634" spans="1:5" ht="15" x14ac:dyDescent="0.25">
      <c r="A634" s="1"/>
      <c r="B634" s="160"/>
      <c r="C634" s="301"/>
      <c r="D634" s="301"/>
      <c r="E634" s="321"/>
    </row>
    <row r="635" spans="1:5" ht="15" x14ac:dyDescent="0.25">
      <c r="A635" s="1"/>
      <c r="B635" s="160"/>
      <c r="C635" s="337" t="s">
        <v>662</v>
      </c>
      <c r="D635" s="338"/>
      <c r="E635" s="324"/>
    </row>
    <row r="636" spans="1:5" ht="15" x14ac:dyDescent="0.25">
      <c r="A636" s="1"/>
      <c r="B636" s="160"/>
      <c r="C636" s="339"/>
      <c r="D636" s="340"/>
      <c r="E636" s="324"/>
    </row>
    <row r="637" spans="1:5" ht="53.45" customHeight="1" x14ac:dyDescent="0.25">
      <c r="A637" s="1" t="s">
        <v>9</v>
      </c>
      <c r="B637" s="160"/>
      <c r="C637" s="322" t="s">
        <v>663</v>
      </c>
      <c r="D637" s="323"/>
      <c r="E637" s="324"/>
    </row>
    <row r="638" spans="1:5" ht="15" x14ac:dyDescent="0.25">
      <c r="A638" s="1"/>
      <c r="B638" s="160"/>
      <c r="C638" s="322"/>
      <c r="D638" s="323"/>
      <c r="E638" s="324"/>
    </row>
    <row r="639" spans="1:5" ht="18.600000000000001" customHeight="1" x14ac:dyDescent="0.25">
      <c r="A639" s="1" t="s">
        <v>10</v>
      </c>
      <c r="B639" s="160"/>
      <c r="C639" s="322" t="s">
        <v>664</v>
      </c>
      <c r="D639" s="323"/>
      <c r="E639" s="324"/>
    </row>
    <row r="640" spans="1:5" ht="15" x14ac:dyDescent="0.25">
      <c r="A640" s="1"/>
      <c r="B640" s="160"/>
      <c r="C640" s="322"/>
      <c r="D640" s="323"/>
      <c r="E640" s="324"/>
    </row>
    <row r="641" spans="1:5" ht="15" x14ac:dyDescent="0.25">
      <c r="A641" s="1"/>
      <c r="B641" s="160"/>
      <c r="C641" s="337" t="s">
        <v>665</v>
      </c>
      <c r="D641" s="338"/>
      <c r="E641" s="324"/>
    </row>
    <row r="642" spans="1:5" ht="15" x14ac:dyDescent="0.25">
      <c r="A642" s="1"/>
      <c r="B642" s="160"/>
      <c r="C642" s="339"/>
      <c r="D642" s="340"/>
      <c r="E642" s="324"/>
    </row>
    <row r="643" spans="1:5" ht="46.15" customHeight="1" x14ac:dyDescent="0.25">
      <c r="A643" s="1" t="s">
        <v>11</v>
      </c>
      <c r="B643" s="160"/>
      <c r="C643" s="322" t="s">
        <v>666</v>
      </c>
      <c r="D643" s="323"/>
      <c r="E643" s="324"/>
    </row>
    <row r="644" spans="1:5" ht="15" x14ac:dyDescent="0.25">
      <c r="A644" s="1"/>
      <c r="B644" s="160"/>
      <c r="C644" s="322" t="s">
        <v>470</v>
      </c>
      <c r="D644" s="323"/>
      <c r="E644" s="324"/>
    </row>
    <row r="645" spans="1:5" ht="15" x14ac:dyDescent="0.25">
      <c r="A645" s="1"/>
      <c r="B645" s="160"/>
      <c r="C645" s="337" t="s">
        <v>667</v>
      </c>
      <c r="D645" s="338"/>
      <c r="E645" s="324"/>
    </row>
    <row r="646" spans="1:5" ht="15" x14ac:dyDescent="0.25">
      <c r="A646" s="1"/>
      <c r="B646" s="160"/>
      <c r="C646" s="322"/>
      <c r="D646" s="323"/>
      <c r="E646" s="324"/>
    </row>
    <row r="647" spans="1:5" ht="94.9" customHeight="1" x14ac:dyDescent="0.2">
      <c r="A647" s="4" t="s">
        <v>12</v>
      </c>
      <c r="B647" s="299"/>
      <c r="C647" s="322" t="s">
        <v>668</v>
      </c>
      <c r="D647" s="323"/>
      <c r="E647" s="373"/>
    </row>
    <row r="648" spans="1:5" x14ac:dyDescent="0.2">
      <c r="A648" s="4"/>
      <c r="B648" s="299"/>
      <c r="C648" s="322"/>
      <c r="D648" s="323"/>
      <c r="E648" s="373"/>
    </row>
    <row r="649" spans="1:5" ht="15" x14ac:dyDescent="0.2">
      <c r="A649" s="4"/>
      <c r="B649" s="299"/>
      <c r="C649" s="337" t="s">
        <v>669</v>
      </c>
      <c r="D649" s="338"/>
      <c r="E649" s="373"/>
    </row>
    <row r="650" spans="1:5" x14ac:dyDescent="0.2">
      <c r="A650" s="4"/>
      <c r="B650" s="299"/>
      <c r="C650" s="322"/>
      <c r="D650" s="323"/>
      <c r="E650" s="373"/>
    </row>
    <row r="651" spans="1:5" ht="97.15" customHeight="1" x14ac:dyDescent="0.25">
      <c r="A651" s="1" t="s">
        <v>13</v>
      </c>
      <c r="B651" s="160"/>
      <c r="C651" s="322" t="s">
        <v>670</v>
      </c>
      <c r="D651" s="323"/>
      <c r="E651" s="324"/>
    </row>
    <row r="652" spans="1:5" x14ac:dyDescent="0.2">
      <c r="A652" s="4"/>
      <c r="B652" s="299"/>
      <c r="C652" s="322"/>
      <c r="D652" s="323"/>
      <c r="E652" s="373"/>
    </row>
    <row r="653" spans="1:5" ht="52.15" customHeight="1" x14ac:dyDescent="0.25">
      <c r="A653" s="1" t="s">
        <v>14</v>
      </c>
      <c r="B653" s="160"/>
      <c r="C653" s="310" t="s">
        <v>671</v>
      </c>
      <c r="D653" s="351"/>
      <c r="E653" s="324"/>
    </row>
    <row r="654" spans="1:5" ht="15" x14ac:dyDescent="0.25">
      <c r="A654" s="1"/>
      <c r="B654" s="160"/>
      <c r="C654" s="325"/>
      <c r="D654" s="326"/>
      <c r="E654" s="324"/>
    </row>
    <row r="655" spans="1:5" ht="15" x14ac:dyDescent="0.25">
      <c r="A655" s="1"/>
      <c r="B655" s="160"/>
      <c r="C655" s="325"/>
      <c r="D655" s="326"/>
      <c r="E655" s="324"/>
    </row>
    <row r="656" spans="1:5" ht="15" x14ac:dyDescent="0.25">
      <c r="A656" s="1"/>
      <c r="B656" s="160"/>
      <c r="C656" s="325"/>
      <c r="D656" s="326"/>
      <c r="E656" s="324"/>
    </row>
    <row r="657" spans="1:5" ht="15" x14ac:dyDescent="0.25">
      <c r="A657" s="1"/>
      <c r="B657" s="160"/>
      <c r="C657" s="325"/>
      <c r="D657" s="326"/>
      <c r="E657" s="324"/>
    </row>
    <row r="658" spans="1:5" ht="15" x14ac:dyDescent="0.25">
      <c r="A658" s="1"/>
      <c r="B658" s="160"/>
      <c r="C658" s="325"/>
      <c r="D658" s="326"/>
      <c r="E658" s="324"/>
    </row>
    <row r="659" spans="1:5" x14ac:dyDescent="0.2">
      <c r="A659" s="4"/>
      <c r="B659" s="299"/>
      <c r="C659" s="307"/>
      <c r="D659" s="307"/>
      <c r="E659" s="324"/>
    </row>
    <row r="660" spans="1:5" x14ac:dyDescent="0.2">
      <c r="A660" s="4"/>
      <c r="B660" s="299"/>
      <c r="C660" s="307"/>
      <c r="D660" s="307"/>
      <c r="E660" s="324"/>
    </row>
    <row r="661" spans="1:5" x14ac:dyDescent="0.2">
      <c r="A661" s="161"/>
      <c r="B661" s="157"/>
      <c r="C661" s="157"/>
      <c r="D661" s="157"/>
      <c r="E661" s="329"/>
    </row>
    <row r="662" spans="1:5" ht="15" x14ac:dyDescent="0.25">
      <c r="A662" s="197"/>
      <c r="B662" s="188"/>
      <c r="C662" s="166"/>
      <c r="D662" s="166"/>
      <c r="E662" s="330"/>
    </row>
    <row r="663" spans="1:5" ht="15.75" thickBot="1" x14ac:dyDescent="0.3">
      <c r="A663" s="190"/>
      <c r="B663" s="188"/>
      <c r="C663" s="164" t="s">
        <v>6</v>
      </c>
      <c r="D663" s="164"/>
      <c r="E663" s="331">
        <f>SUM(E637:E662)</f>
        <v>0</v>
      </c>
    </row>
    <row r="664" spans="1:5" ht="15" thickTop="1" x14ac:dyDescent="0.2"/>
    <row r="665" spans="1:5" x14ac:dyDescent="0.2">
      <c r="D665" s="157"/>
      <c r="E665" s="318"/>
    </row>
    <row r="666" spans="1:5" ht="15" x14ac:dyDescent="0.25">
      <c r="A666" s="309"/>
      <c r="B666" s="159"/>
      <c r="C666" s="159"/>
      <c r="D666" s="160"/>
      <c r="E666" s="319"/>
    </row>
    <row r="667" spans="1:5" ht="15" x14ac:dyDescent="0.25">
      <c r="A667" s="161"/>
      <c r="B667" s="162"/>
      <c r="C667" s="162" t="s">
        <v>0</v>
      </c>
      <c r="D667" s="162"/>
      <c r="E667" s="320" t="s">
        <v>5</v>
      </c>
    </row>
    <row r="668" spans="1:5" ht="15" x14ac:dyDescent="0.25">
      <c r="A668" s="1"/>
      <c r="B668" s="160"/>
      <c r="C668" s="301"/>
      <c r="D668" s="301"/>
      <c r="E668" s="321"/>
    </row>
    <row r="669" spans="1:5" ht="38.450000000000003" customHeight="1" x14ac:dyDescent="0.25">
      <c r="A669" s="1"/>
      <c r="B669" s="160"/>
      <c r="C669" s="337" t="s">
        <v>672</v>
      </c>
      <c r="D669" s="338"/>
      <c r="E669" s="324"/>
    </row>
    <row r="670" spans="1:5" ht="15" x14ac:dyDescent="0.25">
      <c r="A670" s="1"/>
      <c r="B670" s="160"/>
      <c r="C670" s="339"/>
      <c r="D670" s="340"/>
      <c r="E670" s="324"/>
    </row>
    <row r="671" spans="1:5" ht="51" customHeight="1" x14ac:dyDescent="0.25">
      <c r="A671" s="1" t="s">
        <v>9</v>
      </c>
      <c r="B671" s="160"/>
      <c r="C671" s="322" t="s">
        <v>673</v>
      </c>
      <c r="D671" s="323"/>
      <c r="E671" s="324"/>
    </row>
    <row r="672" spans="1:5" ht="15" x14ac:dyDescent="0.25">
      <c r="A672" s="1"/>
      <c r="B672" s="160"/>
      <c r="C672" s="322"/>
      <c r="D672" s="323"/>
      <c r="E672" s="324"/>
    </row>
    <row r="673" spans="1:5" ht="101.45" customHeight="1" x14ac:dyDescent="0.25">
      <c r="A673" s="1" t="s">
        <v>10</v>
      </c>
      <c r="B673" s="160"/>
      <c r="C673" s="339" t="s">
        <v>674</v>
      </c>
      <c r="D673" s="323"/>
      <c r="E673" s="324"/>
    </row>
    <row r="674" spans="1:5" ht="15" x14ac:dyDescent="0.25">
      <c r="A674" s="1"/>
      <c r="B674" s="160"/>
      <c r="C674" s="322"/>
      <c r="D674" s="323"/>
      <c r="E674" s="324"/>
    </row>
    <row r="675" spans="1:5" ht="35.450000000000003" customHeight="1" x14ac:dyDescent="0.25">
      <c r="A675" s="1" t="s">
        <v>11</v>
      </c>
      <c r="B675" s="160"/>
      <c r="C675" s="322" t="s">
        <v>675</v>
      </c>
      <c r="D675" s="323"/>
      <c r="E675" s="324"/>
    </row>
    <row r="676" spans="1:5" ht="15" x14ac:dyDescent="0.25">
      <c r="A676" s="1"/>
      <c r="B676" s="160"/>
      <c r="C676" s="322"/>
      <c r="D676" s="323"/>
      <c r="E676" s="324"/>
    </row>
    <row r="677" spans="1:5" ht="49.9" customHeight="1" x14ac:dyDescent="0.25">
      <c r="A677" s="1" t="s">
        <v>12</v>
      </c>
      <c r="B677" s="160"/>
      <c r="C677" s="322" t="s">
        <v>676</v>
      </c>
      <c r="D677" s="323"/>
      <c r="E677" s="324"/>
    </row>
    <row r="678" spans="1:5" ht="15" x14ac:dyDescent="0.25">
      <c r="A678" s="1"/>
      <c r="B678" s="160"/>
      <c r="C678" s="322"/>
      <c r="D678" s="323"/>
      <c r="E678" s="324"/>
    </row>
    <row r="679" spans="1:5" ht="78" customHeight="1" x14ac:dyDescent="0.25">
      <c r="A679" s="1" t="s">
        <v>13</v>
      </c>
      <c r="B679" s="160"/>
      <c r="C679" s="322" t="s">
        <v>677</v>
      </c>
      <c r="D679" s="323"/>
      <c r="E679" s="324"/>
    </row>
    <row r="680" spans="1:5" x14ac:dyDescent="0.2">
      <c r="A680" s="4"/>
      <c r="B680" s="299"/>
      <c r="C680" s="322"/>
      <c r="D680" s="323"/>
      <c r="E680" s="373"/>
    </row>
    <row r="681" spans="1:5" ht="75" customHeight="1" x14ac:dyDescent="0.2">
      <c r="A681" s="4" t="s">
        <v>14</v>
      </c>
      <c r="B681" s="299"/>
      <c r="C681" s="322" t="s">
        <v>678</v>
      </c>
      <c r="D681" s="323"/>
      <c r="E681" s="373"/>
    </row>
    <row r="682" spans="1:5" x14ac:dyDescent="0.2">
      <c r="A682" s="4"/>
      <c r="B682" s="299"/>
      <c r="C682" s="322"/>
      <c r="D682" s="323"/>
      <c r="E682" s="373"/>
    </row>
    <row r="683" spans="1:5" ht="33.6" customHeight="1" x14ac:dyDescent="0.2">
      <c r="A683" s="4" t="s">
        <v>15</v>
      </c>
      <c r="B683" s="299"/>
      <c r="C683" s="322" t="s">
        <v>679</v>
      </c>
      <c r="D683" s="323"/>
      <c r="E683" s="373"/>
    </row>
    <row r="684" spans="1:5" ht="15" x14ac:dyDescent="0.25">
      <c r="A684" s="1"/>
      <c r="B684" s="160"/>
      <c r="C684" s="322"/>
      <c r="D684" s="323"/>
      <c r="E684" s="324"/>
    </row>
    <row r="685" spans="1:5" ht="33" customHeight="1" x14ac:dyDescent="0.25">
      <c r="A685" s="1" t="s">
        <v>16</v>
      </c>
      <c r="B685" s="160"/>
      <c r="C685" s="322" t="s">
        <v>680</v>
      </c>
      <c r="D685" s="323"/>
      <c r="E685" s="324"/>
    </row>
    <row r="686" spans="1:5" ht="15" x14ac:dyDescent="0.25">
      <c r="A686" s="1"/>
      <c r="B686" s="160"/>
      <c r="C686" s="322"/>
      <c r="D686" s="323"/>
      <c r="E686" s="324"/>
    </row>
    <row r="687" spans="1:5" x14ac:dyDescent="0.2">
      <c r="A687" s="4"/>
      <c r="B687" s="299"/>
      <c r="C687" s="307"/>
      <c r="D687" s="307"/>
      <c r="E687" s="324"/>
    </row>
    <row r="688" spans="1:5" x14ac:dyDescent="0.2">
      <c r="A688" s="161"/>
      <c r="B688" s="157"/>
      <c r="C688" s="157"/>
      <c r="D688" s="157"/>
      <c r="E688" s="329"/>
    </row>
    <row r="689" spans="1:5" ht="15" x14ac:dyDescent="0.25">
      <c r="A689" s="197"/>
      <c r="B689" s="188"/>
      <c r="C689" s="166"/>
      <c r="D689" s="166"/>
      <c r="E689" s="330"/>
    </row>
    <row r="690" spans="1:5" ht="15.75" thickBot="1" x14ac:dyDescent="0.3">
      <c r="A690" s="190"/>
      <c r="B690" s="188"/>
      <c r="C690" s="164" t="s">
        <v>6</v>
      </c>
      <c r="D690" s="164"/>
      <c r="E690" s="331">
        <f>SUM(E669:E689)</f>
        <v>0</v>
      </c>
    </row>
    <row r="691" spans="1:5" ht="15" thickTop="1" x14ac:dyDescent="0.2">
      <c r="E691" s="346"/>
    </row>
    <row r="692" spans="1:5" x14ac:dyDescent="0.2">
      <c r="D692" s="157"/>
      <c r="E692" s="318"/>
    </row>
    <row r="693" spans="1:5" ht="15" x14ac:dyDescent="0.25">
      <c r="A693" s="309"/>
      <c r="B693" s="159"/>
      <c r="C693" s="159"/>
      <c r="D693" s="160"/>
      <c r="E693" s="319"/>
    </row>
    <row r="694" spans="1:5" ht="15" x14ac:dyDescent="0.25">
      <c r="A694" s="161"/>
      <c r="B694" s="162"/>
      <c r="C694" s="162" t="s">
        <v>0</v>
      </c>
      <c r="D694" s="162"/>
      <c r="E694" s="320" t="s">
        <v>5</v>
      </c>
    </row>
    <row r="695" spans="1:5" ht="15" x14ac:dyDescent="0.25">
      <c r="A695" s="1"/>
      <c r="B695" s="160"/>
      <c r="C695" s="301"/>
      <c r="D695" s="301"/>
      <c r="E695" s="321"/>
    </row>
    <row r="696" spans="1:5" ht="15" x14ac:dyDescent="0.25">
      <c r="A696" s="1"/>
      <c r="B696" s="160"/>
      <c r="C696" s="337" t="s">
        <v>681</v>
      </c>
      <c r="D696" s="338"/>
      <c r="E696" s="324"/>
    </row>
    <row r="697" spans="1:5" ht="15" x14ac:dyDescent="0.25">
      <c r="A697" s="1"/>
      <c r="B697" s="160"/>
      <c r="C697" s="322"/>
      <c r="D697" s="323"/>
      <c r="E697" s="324"/>
    </row>
    <row r="698" spans="1:5" ht="80.45" customHeight="1" x14ac:dyDescent="0.25">
      <c r="A698" s="1" t="s">
        <v>9</v>
      </c>
      <c r="B698" s="160"/>
      <c r="C698" s="322" t="s">
        <v>682</v>
      </c>
      <c r="D698" s="323"/>
      <c r="E698" s="324"/>
    </row>
    <row r="699" spans="1:5" ht="15" x14ac:dyDescent="0.25">
      <c r="A699" s="1"/>
      <c r="B699" s="160"/>
      <c r="C699" s="322"/>
      <c r="D699" s="323"/>
      <c r="E699" s="324"/>
    </row>
    <row r="700" spans="1:5" ht="48" customHeight="1" x14ac:dyDescent="0.25">
      <c r="A700" s="1" t="s">
        <v>10</v>
      </c>
      <c r="B700" s="160"/>
      <c r="C700" s="322" t="s">
        <v>683</v>
      </c>
      <c r="D700" s="323"/>
      <c r="E700" s="324"/>
    </row>
    <row r="701" spans="1:5" ht="15" x14ac:dyDescent="0.25">
      <c r="A701" s="1"/>
      <c r="B701" s="160"/>
      <c r="C701" s="322"/>
      <c r="D701" s="323"/>
      <c r="E701" s="324"/>
    </row>
    <row r="702" spans="1:5" ht="15" x14ac:dyDescent="0.25">
      <c r="A702" s="1"/>
      <c r="B702" s="160"/>
      <c r="C702" s="337" t="s">
        <v>684</v>
      </c>
      <c r="D702" s="338"/>
      <c r="E702" s="324"/>
    </row>
    <row r="703" spans="1:5" ht="15" x14ac:dyDescent="0.25">
      <c r="A703" s="1"/>
      <c r="B703" s="160"/>
      <c r="C703" s="339"/>
      <c r="D703" s="340"/>
      <c r="E703" s="324"/>
    </row>
    <row r="704" spans="1:5" ht="52.15" customHeight="1" x14ac:dyDescent="0.25">
      <c r="A704" s="1" t="s">
        <v>11</v>
      </c>
      <c r="B704" s="160"/>
      <c r="C704" s="322" t="s">
        <v>685</v>
      </c>
      <c r="D704" s="323"/>
      <c r="E704" s="324"/>
    </row>
    <row r="705" spans="1:5" ht="15" x14ac:dyDescent="0.25">
      <c r="A705" s="1"/>
      <c r="B705" s="160"/>
      <c r="C705" s="322"/>
      <c r="D705" s="323"/>
      <c r="E705" s="324"/>
    </row>
    <row r="706" spans="1:5" ht="30" x14ac:dyDescent="0.25">
      <c r="A706" s="1"/>
      <c r="B706" s="160"/>
      <c r="C706" s="337" t="s">
        <v>686</v>
      </c>
      <c r="D706" s="338"/>
      <c r="E706" s="324"/>
    </row>
    <row r="707" spans="1:5" x14ac:dyDescent="0.2">
      <c r="A707" s="4"/>
      <c r="B707" s="299"/>
      <c r="C707" s="322"/>
      <c r="D707" s="323"/>
      <c r="E707" s="373"/>
    </row>
    <row r="708" spans="1:5" ht="32.450000000000003" customHeight="1" x14ac:dyDescent="0.2">
      <c r="A708" s="4" t="s">
        <v>12</v>
      </c>
      <c r="B708" s="299"/>
      <c r="C708" s="322" t="s">
        <v>687</v>
      </c>
      <c r="D708" s="323"/>
      <c r="E708" s="373"/>
    </row>
    <row r="709" spans="1:5" x14ac:dyDescent="0.2">
      <c r="A709" s="4"/>
      <c r="B709" s="299"/>
      <c r="C709" s="322" t="s">
        <v>688</v>
      </c>
      <c r="D709" s="323"/>
      <c r="E709" s="373"/>
    </row>
    <row r="710" spans="1:5" ht="15" x14ac:dyDescent="0.25">
      <c r="A710" s="1"/>
      <c r="B710" s="160"/>
      <c r="C710" s="322"/>
      <c r="D710" s="323"/>
      <c r="E710" s="324"/>
    </row>
    <row r="711" spans="1:5" ht="15" x14ac:dyDescent="0.2">
      <c r="A711" s="4"/>
      <c r="B711" s="299"/>
      <c r="C711" s="337" t="s">
        <v>689</v>
      </c>
      <c r="D711" s="338"/>
      <c r="E711" s="373"/>
    </row>
    <row r="712" spans="1:5" ht="15" x14ac:dyDescent="0.25">
      <c r="A712" s="1"/>
      <c r="B712" s="160"/>
      <c r="C712" s="339"/>
      <c r="D712" s="340"/>
      <c r="E712" s="324"/>
    </row>
    <row r="713" spans="1:5" ht="94.9" customHeight="1" x14ac:dyDescent="0.25">
      <c r="A713" s="1" t="s">
        <v>13</v>
      </c>
      <c r="B713" s="160"/>
      <c r="C713" s="310" t="s">
        <v>690</v>
      </c>
      <c r="D713" s="344"/>
      <c r="E713" s="324"/>
    </row>
    <row r="714" spans="1:5" ht="15" x14ac:dyDescent="0.25">
      <c r="A714" s="1"/>
      <c r="B714" s="160"/>
      <c r="C714" s="325"/>
      <c r="D714" s="326"/>
      <c r="E714" s="324"/>
    </row>
    <row r="715" spans="1:5" ht="15" x14ac:dyDescent="0.25">
      <c r="A715" s="1"/>
      <c r="B715" s="160"/>
      <c r="C715" s="325"/>
      <c r="D715" s="326"/>
      <c r="E715" s="324"/>
    </row>
    <row r="716" spans="1:5" ht="15" x14ac:dyDescent="0.25">
      <c r="A716" s="1"/>
      <c r="B716" s="160"/>
      <c r="C716" s="325"/>
      <c r="D716" s="326"/>
      <c r="E716" s="324"/>
    </row>
    <row r="717" spans="1:5" ht="15" x14ac:dyDescent="0.25">
      <c r="A717" s="1"/>
      <c r="B717" s="160"/>
      <c r="C717" s="325"/>
      <c r="D717" s="326"/>
      <c r="E717" s="324"/>
    </row>
    <row r="718" spans="1:5" ht="15" x14ac:dyDescent="0.25">
      <c r="A718" s="1"/>
      <c r="B718" s="160"/>
      <c r="C718" s="325"/>
      <c r="D718" s="326"/>
      <c r="E718" s="324"/>
    </row>
    <row r="719" spans="1:5" ht="15" x14ac:dyDescent="0.25">
      <c r="A719" s="1"/>
      <c r="B719" s="160"/>
      <c r="C719" s="325"/>
      <c r="D719" s="326"/>
      <c r="E719" s="324"/>
    </row>
    <row r="720" spans="1:5" ht="15" x14ac:dyDescent="0.25">
      <c r="A720" s="1"/>
      <c r="B720" s="160"/>
      <c r="C720" s="327"/>
      <c r="D720" s="327"/>
      <c r="E720" s="324"/>
    </row>
    <row r="721" spans="1:5" x14ac:dyDescent="0.2">
      <c r="A721" s="4"/>
      <c r="B721" s="299"/>
      <c r="C721" s="307"/>
      <c r="D721" s="307"/>
      <c r="E721" s="324"/>
    </row>
    <row r="722" spans="1:5" ht="15" x14ac:dyDescent="0.2">
      <c r="A722" s="4"/>
      <c r="B722" s="299"/>
      <c r="C722" s="305"/>
      <c r="D722" s="305"/>
      <c r="E722" s="373"/>
    </row>
    <row r="723" spans="1:5" ht="15" x14ac:dyDescent="0.2">
      <c r="A723" s="4"/>
      <c r="B723" s="299"/>
      <c r="C723" s="305"/>
      <c r="D723" s="305"/>
      <c r="E723" s="373"/>
    </row>
    <row r="724" spans="1:5" x14ac:dyDescent="0.2">
      <c r="A724" s="4"/>
      <c r="B724" s="299"/>
      <c r="C724" s="307"/>
      <c r="D724" s="307"/>
      <c r="E724" s="324"/>
    </row>
    <row r="725" spans="1:5" x14ac:dyDescent="0.2">
      <c r="A725" s="161"/>
      <c r="B725" s="157"/>
      <c r="C725" s="157"/>
      <c r="D725" s="157"/>
      <c r="E725" s="329"/>
    </row>
    <row r="726" spans="1:5" ht="15" x14ac:dyDescent="0.25">
      <c r="A726" s="197"/>
      <c r="B726" s="188"/>
      <c r="C726" s="166"/>
      <c r="D726" s="166"/>
      <c r="E726" s="330"/>
    </row>
    <row r="727" spans="1:5" ht="15.75" thickBot="1" x14ac:dyDescent="0.3">
      <c r="A727" s="190"/>
      <c r="B727" s="188"/>
      <c r="C727" s="164" t="s">
        <v>6</v>
      </c>
      <c r="D727" s="164"/>
      <c r="E727" s="331">
        <f>SUM(E696:E726)</f>
        <v>0</v>
      </c>
    </row>
    <row r="728" spans="1:5" ht="15" thickTop="1" x14ac:dyDescent="0.2">
      <c r="E728" s="346"/>
    </row>
    <row r="729" spans="1:5" x14ac:dyDescent="0.2">
      <c r="D729" s="157"/>
      <c r="E729" s="318"/>
    </row>
    <row r="730" spans="1:5" ht="15" x14ac:dyDescent="0.25">
      <c r="A730" s="309"/>
      <c r="B730" s="159"/>
      <c r="C730" s="159"/>
      <c r="D730" s="160"/>
      <c r="E730" s="319"/>
    </row>
    <row r="731" spans="1:5" ht="15" x14ac:dyDescent="0.25">
      <c r="A731" s="161"/>
      <c r="B731" s="162"/>
      <c r="C731" s="162" t="s">
        <v>0</v>
      </c>
      <c r="D731" s="162"/>
      <c r="E731" s="320" t="s">
        <v>5</v>
      </c>
    </row>
    <row r="732" spans="1:5" ht="15" x14ac:dyDescent="0.25">
      <c r="A732" s="1"/>
      <c r="B732" s="160"/>
      <c r="C732" s="301"/>
      <c r="D732" s="301"/>
      <c r="E732" s="321"/>
    </row>
    <row r="733" spans="1:5" ht="15" x14ac:dyDescent="0.25">
      <c r="A733" s="1"/>
      <c r="B733" s="160"/>
      <c r="C733" s="337" t="s">
        <v>691</v>
      </c>
      <c r="D733" s="338"/>
      <c r="E733" s="324"/>
    </row>
    <row r="734" spans="1:5" ht="15" x14ac:dyDescent="0.25">
      <c r="A734" s="1"/>
      <c r="B734" s="160"/>
      <c r="C734" s="322"/>
      <c r="D734" s="323"/>
      <c r="E734" s="324"/>
    </row>
    <row r="735" spans="1:5" ht="66" customHeight="1" x14ac:dyDescent="0.25">
      <c r="A735" s="1" t="s">
        <v>9</v>
      </c>
      <c r="B735" s="160"/>
      <c r="C735" s="322" t="s">
        <v>692</v>
      </c>
      <c r="D735" s="323"/>
      <c r="E735" s="324"/>
    </row>
    <row r="736" spans="1:5" ht="15" x14ac:dyDescent="0.25">
      <c r="A736" s="1"/>
      <c r="B736" s="160"/>
      <c r="C736" s="322"/>
      <c r="D736" s="323"/>
      <c r="E736" s="324"/>
    </row>
    <row r="737" spans="1:5" ht="15" x14ac:dyDescent="0.25">
      <c r="A737" s="1"/>
      <c r="B737" s="160"/>
      <c r="C737" s="337" t="s">
        <v>693</v>
      </c>
      <c r="D737" s="338"/>
      <c r="E737" s="324"/>
    </row>
    <row r="738" spans="1:5" ht="15" x14ac:dyDescent="0.25">
      <c r="A738" s="1"/>
      <c r="B738" s="160"/>
      <c r="C738" s="322"/>
      <c r="D738" s="323"/>
      <c r="E738" s="324"/>
    </row>
    <row r="739" spans="1:5" ht="34.15" customHeight="1" x14ac:dyDescent="0.25">
      <c r="A739" s="1" t="s">
        <v>10</v>
      </c>
      <c r="B739" s="160"/>
      <c r="C739" s="322" t="s">
        <v>694</v>
      </c>
      <c r="D739" s="323"/>
      <c r="E739" s="324"/>
    </row>
    <row r="740" spans="1:5" ht="15" x14ac:dyDescent="0.25">
      <c r="A740" s="1"/>
      <c r="B740" s="160"/>
      <c r="C740" s="322"/>
      <c r="D740" s="323"/>
      <c r="E740" s="324"/>
    </row>
    <row r="741" spans="1:5" ht="15" x14ac:dyDescent="0.25">
      <c r="A741" s="1"/>
      <c r="B741" s="160"/>
      <c r="C741" s="337" t="s">
        <v>695</v>
      </c>
      <c r="D741" s="338"/>
      <c r="E741" s="324"/>
    </row>
    <row r="742" spans="1:5" ht="15" x14ac:dyDescent="0.25">
      <c r="A742" s="1"/>
      <c r="B742" s="160"/>
      <c r="C742" s="322"/>
      <c r="D742" s="323"/>
      <c r="E742" s="324"/>
    </row>
    <row r="743" spans="1:5" ht="64.900000000000006" customHeight="1" x14ac:dyDescent="0.25">
      <c r="A743" s="1" t="s">
        <v>11</v>
      </c>
      <c r="B743" s="160"/>
      <c r="C743" s="322" t="s">
        <v>696</v>
      </c>
      <c r="D743" s="323"/>
      <c r="E743" s="324"/>
    </row>
    <row r="744" spans="1:5" x14ac:dyDescent="0.2">
      <c r="A744" s="4"/>
      <c r="B744" s="299"/>
      <c r="C744" s="322"/>
      <c r="D744" s="323"/>
      <c r="E744" s="373"/>
    </row>
    <row r="745" spans="1:5" ht="15" x14ac:dyDescent="0.2">
      <c r="A745" s="4"/>
      <c r="B745" s="299"/>
      <c r="C745" s="337" t="s">
        <v>697</v>
      </c>
      <c r="D745" s="338"/>
      <c r="E745" s="373"/>
    </row>
    <row r="746" spans="1:5" ht="15" x14ac:dyDescent="0.2">
      <c r="A746" s="4"/>
      <c r="B746" s="299"/>
      <c r="C746" s="339"/>
      <c r="D746" s="340"/>
      <c r="E746" s="373"/>
    </row>
    <row r="747" spans="1:5" ht="63" customHeight="1" x14ac:dyDescent="0.2">
      <c r="A747" s="4" t="s">
        <v>12</v>
      </c>
      <c r="B747" s="299"/>
      <c r="C747" s="322" t="s">
        <v>698</v>
      </c>
      <c r="D747" s="323"/>
      <c r="E747" s="373"/>
    </row>
    <row r="748" spans="1:5" ht="15" x14ac:dyDescent="0.25">
      <c r="A748" s="1"/>
      <c r="B748" s="160"/>
      <c r="C748" s="322"/>
      <c r="D748" s="323"/>
      <c r="E748" s="324"/>
    </row>
    <row r="749" spans="1:5" ht="15" x14ac:dyDescent="0.2">
      <c r="A749" s="4"/>
      <c r="B749" s="299"/>
      <c r="C749" s="337" t="s">
        <v>699</v>
      </c>
      <c r="D749" s="338"/>
      <c r="E749" s="373"/>
    </row>
    <row r="750" spans="1:5" ht="15" x14ac:dyDescent="0.25">
      <c r="A750" s="1"/>
      <c r="B750" s="160"/>
      <c r="C750" s="322"/>
      <c r="D750" s="323"/>
      <c r="E750" s="324"/>
    </row>
    <row r="751" spans="1:5" ht="43.15" customHeight="1" x14ac:dyDescent="0.25">
      <c r="A751" s="1" t="s">
        <v>13</v>
      </c>
      <c r="B751" s="160"/>
      <c r="C751" s="322" t="s">
        <v>700</v>
      </c>
      <c r="D751" s="323"/>
      <c r="E751" s="324"/>
    </row>
    <row r="752" spans="1:5" ht="15" x14ac:dyDescent="0.25">
      <c r="A752" s="1"/>
      <c r="B752" s="160"/>
      <c r="C752" s="322"/>
      <c r="D752" s="323"/>
      <c r="E752" s="324"/>
    </row>
    <row r="753" spans="1:5" ht="15" x14ac:dyDescent="0.25">
      <c r="A753" s="1"/>
      <c r="B753" s="160"/>
      <c r="C753" s="337" t="s">
        <v>701</v>
      </c>
      <c r="D753" s="338"/>
      <c r="E753" s="324"/>
    </row>
    <row r="754" spans="1:5" ht="15" x14ac:dyDescent="0.25">
      <c r="A754" s="1"/>
      <c r="B754" s="160"/>
      <c r="C754" s="337"/>
      <c r="D754" s="338"/>
      <c r="E754" s="324"/>
    </row>
    <row r="755" spans="1:5" ht="60" customHeight="1" x14ac:dyDescent="0.25">
      <c r="A755" s="1" t="s">
        <v>14</v>
      </c>
      <c r="B755" s="160"/>
      <c r="C755" s="322" t="s">
        <v>702</v>
      </c>
      <c r="D755" s="353"/>
      <c r="E755" s="324"/>
    </row>
    <row r="756" spans="1:5" ht="15" x14ac:dyDescent="0.25">
      <c r="A756" s="1"/>
      <c r="B756" s="160"/>
      <c r="C756" s="325"/>
      <c r="D756" s="326"/>
      <c r="E756" s="324"/>
    </row>
    <row r="757" spans="1:5" ht="15" x14ac:dyDescent="0.25">
      <c r="A757" s="1"/>
      <c r="B757" s="160"/>
      <c r="C757" s="325"/>
      <c r="D757" s="326"/>
      <c r="E757" s="324"/>
    </row>
    <row r="758" spans="1:5" ht="15" x14ac:dyDescent="0.25">
      <c r="A758" s="1"/>
      <c r="B758" s="160"/>
      <c r="C758" s="325"/>
      <c r="D758" s="326"/>
      <c r="E758" s="324"/>
    </row>
    <row r="759" spans="1:5" ht="15" x14ac:dyDescent="0.25">
      <c r="A759" s="1"/>
      <c r="B759" s="160"/>
      <c r="C759" s="325"/>
      <c r="D759" s="326"/>
      <c r="E759" s="324"/>
    </row>
    <row r="760" spans="1:5" ht="15" x14ac:dyDescent="0.25">
      <c r="A760" s="1"/>
      <c r="B760" s="160"/>
      <c r="C760" s="325"/>
      <c r="D760" s="326"/>
      <c r="E760" s="324"/>
    </row>
    <row r="761" spans="1:5" x14ac:dyDescent="0.2">
      <c r="A761" s="161"/>
      <c r="B761" s="157"/>
      <c r="C761" s="157"/>
      <c r="D761" s="157"/>
      <c r="E761" s="329"/>
    </row>
    <row r="762" spans="1:5" ht="15" x14ac:dyDescent="0.25">
      <c r="A762" s="197"/>
      <c r="B762" s="188"/>
      <c r="C762" s="166"/>
      <c r="D762" s="166"/>
      <c r="E762" s="330"/>
    </row>
    <row r="763" spans="1:5" ht="15.75" thickBot="1" x14ac:dyDescent="0.3">
      <c r="A763" s="190"/>
      <c r="B763" s="188"/>
      <c r="C763" s="164" t="s">
        <v>6</v>
      </c>
      <c r="D763" s="164"/>
      <c r="E763" s="331">
        <f>SUM(E733:E762)</f>
        <v>0</v>
      </c>
    </row>
    <row r="764" spans="1:5" ht="15" thickTop="1" x14ac:dyDescent="0.2">
      <c r="E764" s="346"/>
    </row>
    <row r="765" spans="1:5" x14ac:dyDescent="0.2">
      <c r="D765" s="157"/>
      <c r="E765" s="318"/>
    </row>
    <row r="766" spans="1:5" ht="15" x14ac:dyDescent="0.25">
      <c r="A766" s="309"/>
      <c r="B766" s="159"/>
      <c r="C766" s="159"/>
      <c r="D766" s="160"/>
      <c r="E766" s="319"/>
    </row>
    <row r="767" spans="1:5" ht="15" x14ac:dyDescent="0.25">
      <c r="A767" s="161"/>
      <c r="B767" s="162"/>
      <c r="C767" s="162" t="s">
        <v>0</v>
      </c>
      <c r="D767" s="162"/>
      <c r="E767" s="320" t="s">
        <v>5</v>
      </c>
    </row>
    <row r="768" spans="1:5" ht="15" x14ac:dyDescent="0.25">
      <c r="A768" s="1"/>
      <c r="B768" s="160"/>
      <c r="C768" s="301"/>
      <c r="D768" s="301"/>
      <c r="E768" s="321"/>
    </row>
    <row r="769" spans="1:5" ht="15" x14ac:dyDescent="0.25">
      <c r="A769" s="1"/>
      <c r="B769" s="160"/>
      <c r="C769" s="312" t="s">
        <v>703</v>
      </c>
      <c r="D769" s="349"/>
      <c r="E769" s="324"/>
    </row>
    <row r="770" spans="1:5" ht="15" x14ac:dyDescent="0.25">
      <c r="A770" s="1"/>
      <c r="B770" s="160"/>
      <c r="C770" s="352"/>
      <c r="D770" s="350"/>
      <c r="E770" s="324"/>
    </row>
    <row r="771" spans="1:5" ht="64.150000000000006" customHeight="1" x14ac:dyDescent="0.25">
      <c r="A771" s="1" t="s">
        <v>9</v>
      </c>
      <c r="B771" s="160"/>
      <c r="C771" s="322" t="s">
        <v>704</v>
      </c>
      <c r="D771" s="323"/>
      <c r="E771" s="324"/>
    </row>
    <row r="772" spans="1:5" ht="15" x14ac:dyDescent="0.25">
      <c r="A772" s="1"/>
      <c r="B772" s="160"/>
      <c r="C772" s="322"/>
      <c r="D772" s="323"/>
      <c r="E772" s="324"/>
    </row>
    <row r="773" spans="1:5" ht="64.900000000000006" customHeight="1" x14ac:dyDescent="0.25">
      <c r="A773" s="1" t="s">
        <v>10</v>
      </c>
      <c r="B773" s="160"/>
      <c r="C773" s="322" t="s">
        <v>705</v>
      </c>
      <c r="D773" s="323"/>
      <c r="E773" s="324"/>
    </row>
    <row r="774" spans="1:5" ht="15" x14ac:dyDescent="0.25">
      <c r="A774" s="1"/>
      <c r="B774" s="160"/>
      <c r="C774" s="339"/>
      <c r="D774" s="340"/>
      <c r="E774" s="324"/>
    </row>
    <row r="775" spans="1:5" ht="195" x14ac:dyDescent="0.25">
      <c r="A775" s="1" t="s">
        <v>11</v>
      </c>
      <c r="B775" s="160"/>
      <c r="C775" s="339" t="s">
        <v>706</v>
      </c>
      <c r="D775" s="323"/>
      <c r="E775" s="324"/>
    </row>
    <row r="776" spans="1:5" ht="15" x14ac:dyDescent="0.25">
      <c r="A776" s="1"/>
      <c r="B776" s="160"/>
      <c r="C776" s="339"/>
      <c r="D776" s="340"/>
      <c r="E776" s="324"/>
    </row>
    <row r="777" spans="1:5" ht="28.5" x14ac:dyDescent="0.25">
      <c r="A777" s="1" t="s">
        <v>12</v>
      </c>
      <c r="B777" s="160"/>
      <c r="C777" s="322" t="s">
        <v>707</v>
      </c>
      <c r="D777" s="323"/>
      <c r="E777" s="324"/>
    </row>
    <row r="778" spans="1:5" ht="15" x14ac:dyDescent="0.25">
      <c r="A778" s="1"/>
      <c r="B778" s="160"/>
      <c r="C778" s="339"/>
      <c r="D778" s="340"/>
      <c r="E778" s="324"/>
    </row>
    <row r="779" spans="1:5" ht="76.900000000000006" customHeight="1" x14ac:dyDescent="0.25">
      <c r="A779" s="1" t="s">
        <v>13</v>
      </c>
      <c r="B779" s="160"/>
      <c r="C779" s="322" t="s">
        <v>708</v>
      </c>
      <c r="D779" s="323"/>
      <c r="E779" s="324"/>
    </row>
    <row r="780" spans="1:5" ht="15" x14ac:dyDescent="0.25">
      <c r="A780" s="1"/>
      <c r="B780" s="160"/>
      <c r="C780" s="322"/>
      <c r="D780" s="323"/>
      <c r="E780" s="324"/>
    </row>
    <row r="781" spans="1:5" ht="122.45" customHeight="1" x14ac:dyDescent="0.2">
      <c r="A781" s="4" t="s">
        <v>14</v>
      </c>
      <c r="B781" s="299"/>
      <c r="C781" s="322" t="s">
        <v>709</v>
      </c>
      <c r="D781" s="323"/>
      <c r="E781" s="373"/>
    </row>
    <row r="782" spans="1:5" ht="15" x14ac:dyDescent="0.25">
      <c r="A782" s="1"/>
      <c r="B782" s="160"/>
      <c r="C782" s="325"/>
      <c r="D782" s="326"/>
      <c r="E782" s="324"/>
    </row>
    <row r="783" spans="1:5" ht="15" x14ac:dyDescent="0.25">
      <c r="A783" s="1"/>
      <c r="B783" s="160"/>
      <c r="C783" s="325"/>
      <c r="D783" s="326"/>
      <c r="E783" s="324"/>
    </row>
    <row r="784" spans="1:5" x14ac:dyDescent="0.2">
      <c r="A784" s="4"/>
      <c r="B784" s="299"/>
      <c r="C784" s="307"/>
      <c r="D784" s="307"/>
      <c r="E784" s="324"/>
    </row>
    <row r="785" spans="1:5" x14ac:dyDescent="0.2">
      <c r="A785" s="161"/>
      <c r="B785" s="157"/>
      <c r="C785" s="157"/>
      <c r="D785" s="157"/>
      <c r="E785" s="329"/>
    </row>
    <row r="786" spans="1:5" ht="15" x14ac:dyDescent="0.25">
      <c r="A786" s="197"/>
      <c r="B786" s="188"/>
      <c r="C786" s="166"/>
      <c r="D786" s="166"/>
      <c r="E786" s="330"/>
    </row>
    <row r="787" spans="1:5" ht="15.75" thickBot="1" x14ac:dyDescent="0.3">
      <c r="A787" s="190"/>
      <c r="B787" s="188"/>
      <c r="C787" s="164" t="s">
        <v>6</v>
      </c>
      <c r="D787" s="164"/>
      <c r="E787" s="331">
        <f>SUM(E771:E786)</f>
        <v>0</v>
      </c>
    </row>
    <row r="788" spans="1:5" ht="15" thickTop="1" x14ac:dyDescent="0.2">
      <c r="E788" s="346"/>
    </row>
    <row r="789" spans="1:5" x14ac:dyDescent="0.2">
      <c r="D789" s="157"/>
      <c r="E789" s="318"/>
    </row>
    <row r="790" spans="1:5" ht="15" x14ac:dyDescent="0.25">
      <c r="A790" s="309"/>
      <c r="B790" s="159"/>
      <c r="C790" s="159"/>
      <c r="D790" s="160"/>
      <c r="E790" s="319"/>
    </row>
    <row r="791" spans="1:5" ht="15" x14ac:dyDescent="0.25">
      <c r="A791" s="161"/>
      <c r="B791" s="162"/>
      <c r="C791" s="162" t="s">
        <v>0</v>
      </c>
      <c r="D791" s="162"/>
      <c r="E791" s="320" t="s">
        <v>5</v>
      </c>
    </row>
    <row r="792" spans="1:5" ht="15" x14ac:dyDescent="0.25">
      <c r="A792" s="1"/>
      <c r="B792" s="160"/>
      <c r="C792" s="301"/>
      <c r="D792" s="301"/>
      <c r="E792" s="321"/>
    </row>
    <row r="793" spans="1:5" ht="15" x14ac:dyDescent="0.25">
      <c r="A793" s="1"/>
      <c r="B793" s="160"/>
      <c r="C793" s="337" t="s">
        <v>710</v>
      </c>
      <c r="D793" s="354"/>
      <c r="E793" s="324"/>
    </row>
    <row r="794" spans="1:5" ht="15" x14ac:dyDescent="0.25">
      <c r="A794" s="1"/>
      <c r="B794" s="160"/>
      <c r="C794" s="322"/>
      <c r="D794" s="353"/>
      <c r="E794" s="324"/>
    </row>
    <row r="795" spans="1:5" ht="64.150000000000006" customHeight="1" x14ac:dyDescent="0.25">
      <c r="A795" s="1" t="s">
        <v>9</v>
      </c>
      <c r="B795" s="160"/>
      <c r="C795" s="322" t="s">
        <v>711</v>
      </c>
      <c r="D795" s="353"/>
      <c r="E795" s="324"/>
    </row>
    <row r="796" spans="1:5" ht="15" x14ac:dyDescent="0.25">
      <c r="A796" s="1"/>
      <c r="B796" s="160"/>
      <c r="C796" s="322"/>
      <c r="D796" s="353"/>
      <c r="E796" s="324"/>
    </row>
    <row r="797" spans="1:5" ht="97.9" customHeight="1" x14ac:dyDescent="0.25">
      <c r="A797" s="1" t="s">
        <v>10</v>
      </c>
      <c r="B797" s="160"/>
      <c r="C797" s="322" t="s">
        <v>712</v>
      </c>
      <c r="D797" s="353"/>
      <c r="E797" s="324"/>
    </row>
    <row r="798" spans="1:5" ht="15" x14ac:dyDescent="0.25">
      <c r="A798" s="1"/>
      <c r="B798" s="160"/>
      <c r="C798" s="322"/>
      <c r="D798" s="353"/>
      <c r="E798" s="324"/>
    </row>
    <row r="799" spans="1:5" ht="49.9" customHeight="1" x14ac:dyDescent="0.25">
      <c r="A799" s="1" t="s">
        <v>11</v>
      </c>
      <c r="B799" s="160"/>
      <c r="C799" s="339" t="s">
        <v>713</v>
      </c>
      <c r="D799" s="355"/>
      <c r="E799" s="324"/>
    </row>
    <row r="800" spans="1:5" ht="15" x14ac:dyDescent="0.25">
      <c r="A800" s="1"/>
      <c r="B800" s="160"/>
      <c r="C800" s="339"/>
      <c r="D800" s="355"/>
      <c r="E800" s="324"/>
    </row>
    <row r="801" spans="1:5" ht="213" customHeight="1" x14ac:dyDescent="0.25">
      <c r="A801" s="1" t="s">
        <v>12</v>
      </c>
      <c r="B801" s="160"/>
      <c r="C801" s="322" t="s">
        <v>714</v>
      </c>
      <c r="D801" s="353"/>
      <c r="E801" s="324"/>
    </row>
    <row r="802" spans="1:5" ht="15" x14ac:dyDescent="0.25">
      <c r="A802" s="1"/>
      <c r="B802" s="160"/>
      <c r="C802" s="322"/>
      <c r="D802" s="353"/>
      <c r="E802" s="324"/>
    </row>
    <row r="803" spans="1:5" ht="49.15" customHeight="1" x14ac:dyDescent="0.25">
      <c r="A803" s="1" t="s">
        <v>13</v>
      </c>
      <c r="B803" s="160"/>
      <c r="C803" s="322" t="s">
        <v>715</v>
      </c>
      <c r="D803" s="353"/>
      <c r="E803" s="324"/>
    </row>
    <row r="804" spans="1:5" ht="15" x14ac:dyDescent="0.25">
      <c r="A804" s="1"/>
      <c r="B804" s="160"/>
      <c r="C804" s="322"/>
      <c r="D804" s="353"/>
      <c r="E804" s="324"/>
    </row>
    <row r="805" spans="1:5" ht="71.45" customHeight="1" x14ac:dyDescent="0.25">
      <c r="A805" s="1" t="s">
        <v>14</v>
      </c>
      <c r="B805" s="160"/>
      <c r="C805" s="322" t="s">
        <v>716</v>
      </c>
      <c r="D805" s="353"/>
      <c r="E805" s="324"/>
    </row>
    <row r="806" spans="1:5" ht="8.4499999999999993" customHeight="1" x14ac:dyDescent="0.2">
      <c r="A806" s="161"/>
      <c r="B806" s="157"/>
      <c r="C806" s="157"/>
      <c r="D806" s="157"/>
      <c r="E806" s="329"/>
    </row>
    <row r="807" spans="1:5" ht="15" x14ac:dyDescent="0.25">
      <c r="A807" s="197"/>
      <c r="B807" s="188"/>
      <c r="C807" s="166"/>
      <c r="D807" s="166"/>
      <c r="E807" s="330"/>
    </row>
    <row r="808" spans="1:5" ht="15.75" thickBot="1" x14ac:dyDescent="0.3">
      <c r="A808" s="190"/>
      <c r="B808" s="188"/>
      <c r="C808" s="164" t="s">
        <v>6</v>
      </c>
      <c r="D808" s="164"/>
      <c r="E808" s="331">
        <f>SUM(E795:E807)</f>
        <v>0</v>
      </c>
    </row>
    <row r="809" spans="1:5" ht="15" thickTop="1" x14ac:dyDescent="0.2">
      <c r="E809" s="346"/>
    </row>
    <row r="810" spans="1:5" x14ac:dyDescent="0.2">
      <c r="D810" s="157"/>
      <c r="E810" s="318"/>
    </row>
    <row r="811" spans="1:5" ht="15" x14ac:dyDescent="0.25">
      <c r="A811" s="309"/>
      <c r="B811" s="159"/>
      <c r="C811" s="159"/>
      <c r="D811" s="160"/>
      <c r="E811" s="319"/>
    </row>
    <row r="812" spans="1:5" ht="15" x14ac:dyDescent="0.25">
      <c r="A812" s="161"/>
      <c r="B812" s="162"/>
      <c r="C812" s="162" t="s">
        <v>0</v>
      </c>
      <c r="D812" s="162"/>
      <c r="E812" s="320" t="s">
        <v>5</v>
      </c>
    </row>
    <row r="813" spans="1:5" ht="15" x14ac:dyDescent="0.25">
      <c r="A813" s="1"/>
      <c r="B813" s="160"/>
      <c r="C813" s="301"/>
      <c r="D813" s="301"/>
      <c r="E813" s="321"/>
    </row>
    <row r="814" spans="1:5" ht="15" x14ac:dyDescent="0.25">
      <c r="A814" s="1"/>
      <c r="B814" s="160"/>
      <c r="C814" s="337" t="s">
        <v>710</v>
      </c>
      <c r="D814" s="354"/>
      <c r="E814" s="324"/>
    </row>
    <row r="815" spans="1:5" ht="15" x14ac:dyDescent="0.25">
      <c r="A815" s="1"/>
      <c r="B815" s="160"/>
      <c r="C815" s="322"/>
      <c r="D815" s="353"/>
      <c r="E815" s="324"/>
    </row>
    <row r="816" spans="1:5" ht="71.45" customHeight="1" x14ac:dyDescent="0.25">
      <c r="A816" s="1" t="s">
        <v>9</v>
      </c>
      <c r="B816" s="160"/>
      <c r="C816" s="337" t="s">
        <v>717</v>
      </c>
      <c r="D816" s="353"/>
      <c r="E816" s="324"/>
    </row>
    <row r="817" spans="1:5" ht="15" x14ac:dyDescent="0.25">
      <c r="A817" s="1"/>
      <c r="B817" s="160"/>
      <c r="C817" s="322"/>
      <c r="D817" s="353"/>
      <c r="E817" s="324"/>
    </row>
    <row r="818" spans="1:5" ht="187.15" customHeight="1" x14ac:dyDescent="0.25">
      <c r="A818" s="1"/>
      <c r="B818" s="160"/>
      <c r="C818" s="322" t="s">
        <v>718</v>
      </c>
      <c r="D818" s="353"/>
      <c r="E818" s="324"/>
    </row>
    <row r="819" spans="1:5" ht="15" x14ac:dyDescent="0.25">
      <c r="A819" s="1"/>
      <c r="B819" s="160"/>
      <c r="C819" s="322"/>
      <c r="D819" s="353"/>
      <c r="E819" s="324"/>
    </row>
    <row r="820" spans="1:5" ht="15" x14ac:dyDescent="0.25">
      <c r="A820" s="1"/>
      <c r="B820" s="160"/>
      <c r="C820" s="356"/>
      <c r="D820" s="355"/>
      <c r="E820" s="324"/>
    </row>
    <row r="821" spans="1:5" ht="15" x14ac:dyDescent="0.25">
      <c r="A821" s="1"/>
      <c r="B821" s="160"/>
      <c r="C821" s="339"/>
      <c r="D821" s="355"/>
      <c r="E821" s="324"/>
    </row>
    <row r="822" spans="1:5" ht="15" x14ac:dyDescent="0.25">
      <c r="A822" s="1"/>
      <c r="B822" s="160"/>
      <c r="C822" s="372"/>
      <c r="D822" s="355"/>
      <c r="E822" s="324"/>
    </row>
    <row r="823" spans="1:5" ht="15" x14ac:dyDescent="0.25">
      <c r="A823" s="1"/>
      <c r="B823" s="160"/>
      <c r="C823" s="339"/>
      <c r="D823" s="355"/>
      <c r="E823" s="324"/>
    </row>
    <row r="824" spans="1:5" ht="15" x14ac:dyDescent="0.25">
      <c r="A824" s="1"/>
      <c r="B824" s="160"/>
      <c r="C824" s="339"/>
      <c r="D824" s="355"/>
      <c r="E824" s="324"/>
    </row>
    <row r="825" spans="1:5" ht="15" x14ac:dyDescent="0.25">
      <c r="A825" s="1"/>
      <c r="B825" s="160"/>
      <c r="C825" s="339"/>
      <c r="D825" s="355"/>
      <c r="E825" s="324"/>
    </row>
    <row r="826" spans="1:5" ht="15" x14ac:dyDescent="0.25">
      <c r="A826" s="1"/>
      <c r="B826" s="160"/>
      <c r="C826" s="339"/>
      <c r="D826" s="355"/>
      <c r="E826" s="324"/>
    </row>
    <row r="827" spans="1:5" ht="15" x14ac:dyDescent="0.25">
      <c r="A827" s="1"/>
      <c r="B827" s="160"/>
      <c r="C827" s="339"/>
      <c r="D827" s="355"/>
      <c r="E827" s="324"/>
    </row>
    <row r="828" spans="1:5" ht="15" x14ac:dyDescent="0.25">
      <c r="A828" s="1"/>
      <c r="B828" s="160"/>
      <c r="C828" s="339"/>
      <c r="D828" s="355"/>
      <c r="E828" s="324"/>
    </row>
    <row r="829" spans="1:5" ht="15" x14ac:dyDescent="0.25">
      <c r="A829" s="1"/>
      <c r="B829" s="160"/>
      <c r="C829" s="339"/>
      <c r="D829" s="355"/>
      <c r="E829" s="324"/>
    </row>
    <row r="830" spans="1:5" ht="15" x14ac:dyDescent="0.25">
      <c r="A830" s="1"/>
      <c r="B830" s="160"/>
      <c r="C830" s="339"/>
      <c r="D830" s="355"/>
      <c r="E830" s="324"/>
    </row>
    <row r="831" spans="1:5" ht="15" x14ac:dyDescent="0.25">
      <c r="A831" s="1"/>
      <c r="B831" s="160"/>
      <c r="C831" s="339"/>
      <c r="D831" s="355"/>
      <c r="E831" s="324"/>
    </row>
    <row r="832" spans="1:5" ht="15" x14ac:dyDescent="0.25">
      <c r="A832" s="1"/>
      <c r="B832" s="160"/>
      <c r="C832" s="339"/>
      <c r="D832" s="355"/>
      <c r="E832" s="324"/>
    </row>
    <row r="833" spans="1:5" ht="15" x14ac:dyDescent="0.25">
      <c r="A833" s="1"/>
      <c r="B833" s="160"/>
      <c r="C833" s="339"/>
      <c r="D833" s="355"/>
      <c r="E833" s="324"/>
    </row>
    <row r="834" spans="1:5" ht="15" x14ac:dyDescent="0.25">
      <c r="A834" s="1"/>
      <c r="B834" s="160"/>
      <c r="C834" s="339"/>
      <c r="D834" s="355"/>
      <c r="E834" s="324"/>
    </row>
    <row r="835" spans="1:5" ht="15" x14ac:dyDescent="0.25">
      <c r="A835" s="1"/>
      <c r="B835" s="160"/>
      <c r="C835" s="339"/>
      <c r="D835" s="355"/>
      <c r="E835" s="324"/>
    </row>
    <row r="836" spans="1:5" ht="15" x14ac:dyDescent="0.25">
      <c r="A836" s="1"/>
      <c r="B836" s="160"/>
      <c r="C836" s="339"/>
      <c r="D836" s="355"/>
      <c r="E836" s="324"/>
    </row>
    <row r="837" spans="1:5" ht="15" x14ac:dyDescent="0.25">
      <c r="A837" s="1"/>
      <c r="B837" s="160"/>
      <c r="C837" s="339"/>
      <c r="D837" s="355"/>
      <c r="E837" s="324"/>
    </row>
    <row r="838" spans="1:5" ht="15" x14ac:dyDescent="0.25">
      <c r="A838" s="1"/>
      <c r="B838" s="160"/>
      <c r="C838" s="339"/>
      <c r="D838" s="355"/>
      <c r="E838" s="324"/>
    </row>
    <row r="839" spans="1:5" ht="15" x14ac:dyDescent="0.25">
      <c r="A839" s="1"/>
      <c r="B839" s="160"/>
      <c r="C839" s="339"/>
      <c r="D839" s="355"/>
      <c r="E839" s="324"/>
    </row>
    <row r="840" spans="1:5" ht="15" x14ac:dyDescent="0.25">
      <c r="A840" s="1"/>
      <c r="B840" s="160"/>
      <c r="C840" s="339"/>
      <c r="D840" s="355"/>
      <c r="E840" s="324"/>
    </row>
    <row r="841" spans="1:5" ht="15" x14ac:dyDescent="0.25">
      <c r="A841" s="1"/>
      <c r="B841" s="160"/>
      <c r="C841" s="339"/>
      <c r="D841" s="355"/>
      <c r="E841" s="324"/>
    </row>
    <row r="842" spans="1:5" ht="15" x14ac:dyDescent="0.25">
      <c r="A842" s="1"/>
      <c r="B842" s="160"/>
      <c r="C842" s="322"/>
      <c r="D842" s="353"/>
      <c r="E842" s="324"/>
    </row>
    <row r="843" spans="1:5" x14ac:dyDescent="0.2">
      <c r="A843" s="161"/>
      <c r="B843" s="157"/>
      <c r="C843" s="157"/>
      <c r="D843" s="157"/>
      <c r="E843" s="329"/>
    </row>
    <row r="844" spans="1:5" ht="15" x14ac:dyDescent="0.25">
      <c r="A844" s="197"/>
      <c r="B844" s="188"/>
      <c r="C844" s="166"/>
      <c r="D844" s="166"/>
      <c r="E844" s="330"/>
    </row>
    <row r="845" spans="1:5" ht="15.75" thickBot="1" x14ac:dyDescent="0.3">
      <c r="A845" s="190"/>
      <c r="B845" s="188"/>
      <c r="C845" s="164" t="s">
        <v>6</v>
      </c>
      <c r="D845" s="164"/>
      <c r="E845" s="331">
        <f>SUM(E814:E844)</f>
        <v>0</v>
      </c>
    </row>
    <row r="846" spans="1:5" ht="15" thickTop="1" x14ac:dyDescent="0.2">
      <c r="E846" s="346"/>
    </row>
    <row r="847" spans="1:5" x14ac:dyDescent="0.2">
      <c r="D847" s="157"/>
      <c r="E847" s="318"/>
    </row>
    <row r="848" spans="1:5" ht="15" x14ac:dyDescent="0.25">
      <c r="A848" s="309"/>
      <c r="B848" s="159"/>
      <c r="C848" s="159"/>
      <c r="D848" s="357"/>
      <c r="E848" s="358"/>
    </row>
    <row r="849" spans="1:5" ht="15" x14ac:dyDescent="0.25">
      <c r="A849" s="161"/>
      <c r="B849" s="162"/>
      <c r="C849" s="162" t="s">
        <v>0</v>
      </c>
      <c r="D849" s="359"/>
      <c r="E849" s="360" t="s">
        <v>5</v>
      </c>
    </row>
    <row r="850" spans="1:5" ht="9.75" customHeight="1" x14ac:dyDescent="0.25">
      <c r="A850" s="1"/>
      <c r="B850" s="160"/>
      <c r="C850" s="301"/>
      <c r="D850" s="361"/>
      <c r="E850" s="358"/>
    </row>
    <row r="851" spans="1:5" ht="15" x14ac:dyDescent="0.25">
      <c r="A851" s="1"/>
      <c r="B851" s="160"/>
      <c r="C851" s="362" t="s">
        <v>719</v>
      </c>
      <c r="D851" s="363"/>
      <c r="E851" s="364"/>
    </row>
    <row r="852" spans="1:5" ht="15" x14ac:dyDescent="0.25">
      <c r="A852" s="1"/>
      <c r="B852" s="160"/>
      <c r="C852" s="365"/>
      <c r="D852" s="366"/>
      <c r="E852" s="364"/>
    </row>
    <row r="853" spans="1:5" ht="15" x14ac:dyDescent="0.25">
      <c r="A853" s="1"/>
      <c r="B853" s="160"/>
      <c r="C853" s="195" t="s">
        <v>720</v>
      </c>
      <c r="D853" s="302"/>
      <c r="E853" s="364">
        <f>E38</f>
        <v>0</v>
      </c>
    </row>
    <row r="854" spans="1:5" ht="9.75" customHeight="1" x14ac:dyDescent="0.25">
      <c r="A854" s="1"/>
      <c r="B854" s="160"/>
      <c r="C854" s="195"/>
      <c r="D854" s="302"/>
      <c r="E854" s="364"/>
    </row>
    <row r="855" spans="1:5" ht="15.6" customHeight="1" x14ac:dyDescent="0.25">
      <c r="A855" s="1"/>
      <c r="B855" s="160"/>
      <c r="C855" s="195" t="s">
        <v>721</v>
      </c>
      <c r="D855" s="302"/>
      <c r="E855" s="364">
        <f>E75</f>
        <v>0</v>
      </c>
    </row>
    <row r="856" spans="1:5" ht="10.5" customHeight="1" x14ac:dyDescent="0.25">
      <c r="A856" s="1"/>
      <c r="B856" s="160"/>
      <c r="C856" s="195"/>
      <c r="D856" s="302"/>
      <c r="E856" s="364"/>
    </row>
    <row r="857" spans="1:5" ht="15" x14ac:dyDescent="0.25">
      <c r="A857" s="1"/>
      <c r="B857" s="160"/>
      <c r="C857" s="195" t="s">
        <v>722</v>
      </c>
      <c r="D857" s="302"/>
      <c r="E857" s="364">
        <f>E104</f>
        <v>0</v>
      </c>
    </row>
    <row r="858" spans="1:5" ht="15" x14ac:dyDescent="0.25">
      <c r="A858" s="1"/>
      <c r="B858" s="160"/>
      <c r="C858" s="195"/>
      <c r="D858" s="302"/>
      <c r="E858" s="364"/>
    </row>
    <row r="859" spans="1:5" ht="15" x14ac:dyDescent="0.25">
      <c r="A859" s="1"/>
      <c r="B859" s="160"/>
      <c r="C859" s="195" t="s">
        <v>723</v>
      </c>
      <c r="D859" s="302"/>
      <c r="E859" s="364">
        <f>E147</f>
        <v>0</v>
      </c>
    </row>
    <row r="860" spans="1:5" ht="15" x14ac:dyDescent="0.25">
      <c r="A860" s="1"/>
      <c r="B860" s="160"/>
      <c r="C860" s="195"/>
      <c r="D860" s="302"/>
      <c r="E860" s="364"/>
    </row>
    <row r="861" spans="1:5" ht="15" x14ac:dyDescent="0.25">
      <c r="A861" s="1"/>
      <c r="B861" s="160"/>
      <c r="C861" s="195" t="s">
        <v>724</v>
      </c>
      <c r="D861" s="302"/>
      <c r="E861" s="364">
        <f>E200</f>
        <v>0</v>
      </c>
    </row>
    <row r="862" spans="1:5" ht="15" x14ac:dyDescent="0.25">
      <c r="A862" s="1"/>
      <c r="B862" s="160"/>
      <c r="C862" s="195"/>
      <c r="D862" s="302"/>
      <c r="E862" s="364"/>
    </row>
    <row r="863" spans="1:5" ht="15" x14ac:dyDescent="0.25">
      <c r="A863" s="1"/>
      <c r="B863" s="160"/>
      <c r="C863" s="195" t="s">
        <v>725</v>
      </c>
      <c r="D863" s="302"/>
      <c r="E863" s="364">
        <f>E238</f>
        <v>0</v>
      </c>
    </row>
    <row r="864" spans="1:5" ht="15" x14ac:dyDescent="0.25">
      <c r="A864" s="1"/>
      <c r="B864" s="160"/>
      <c r="C864" s="195"/>
      <c r="D864" s="302"/>
      <c r="E864" s="364"/>
    </row>
    <row r="865" spans="1:5" ht="15" x14ac:dyDescent="0.25">
      <c r="A865" s="1"/>
      <c r="B865" s="160"/>
      <c r="C865" s="195" t="s">
        <v>726</v>
      </c>
      <c r="D865" s="302"/>
      <c r="E865" s="364">
        <f>E272</f>
        <v>0</v>
      </c>
    </row>
    <row r="866" spans="1:5" ht="15" x14ac:dyDescent="0.25">
      <c r="A866" s="1"/>
      <c r="B866" s="160"/>
      <c r="C866" s="195"/>
      <c r="D866" s="302"/>
      <c r="E866" s="364"/>
    </row>
    <row r="867" spans="1:5" ht="15" x14ac:dyDescent="0.25">
      <c r="A867" s="1"/>
      <c r="B867" s="160"/>
      <c r="C867" s="195" t="s">
        <v>727</v>
      </c>
      <c r="D867" s="302"/>
      <c r="E867" s="364">
        <f>E314</f>
        <v>0</v>
      </c>
    </row>
    <row r="868" spans="1:5" ht="15" x14ac:dyDescent="0.25">
      <c r="A868" s="1"/>
      <c r="B868" s="160"/>
      <c r="C868" s="195"/>
      <c r="D868" s="302"/>
      <c r="E868" s="364"/>
    </row>
    <row r="869" spans="1:5" ht="15" x14ac:dyDescent="0.25">
      <c r="A869" s="1"/>
      <c r="B869" s="160"/>
      <c r="C869" s="195" t="s">
        <v>728</v>
      </c>
      <c r="D869" s="302"/>
      <c r="E869" s="364">
        <f>E356</f>
        <v>0</v>
      </c>
    </row>
    <row r="870" spans="1:5" ht="15" x14ac:dyDescent="0.25">
      <c r="A870" s="1"/>
      <c r="B870" s="160"/>
      <c r="C870" s="195"/>
      <c r="D870" s="302"/>
      <c r="E870" s="364"/>
    </row>
    <row r="871" spans="1:5" ht="15" x14ac:dyDescent="0.25">
      <c r="A871" s="1"/>
      <c r="B871" s="160"/>
      <c r="C871" s="195" t="s">
        <v>729</v>
      </c>
      <c r="D871" s="302"/>
      <c r="E871" s="364">
        <f>E402</f>
        <v>0</v>
      </c>
    </row>
    <row r="872" spans="1:5" ht="15" x14ac:dyDescent="0.25">
      <c r="A872" s="1"/>
      <c r="B872" s="160"/>
      <c r="C872" s="195"/>
      <c r="D872" s="302"/>
      <c r="E872" s="364"/>
    </row>
    <row r="873" spans="1:5" ht="15" x14ac:dyDescent="0.2">
      <c r="A873" s="4"/>
      <c r="B873" s="299"/>
      <c r="C873" s="195" t="s">
        <v>730</v>
      </c>
      <c r="D873" s="302"/>
      <c r="E873" s="374">
        <f>E449</f>
        <v>0</v>
      </c>
    </row>
    <row r="874" spans="1:5" ht="15" x14ac:dyDescent="0.2">
      <c r="A874" s="4"/>
      <c r="B874" s="299"/>
      <c r="C874" s="195"/>
      <c r="D874" s="302"/>
      <c r="E874" s="374"/>
    </row>
    <row r="875" spans="1:5" ht="15" x14ac:dyDescent="0.2">
      <c r="A875" s="4"/>
      <c r="B875" s="299"/>
      <c r="C875" s="195" t="s">
        <v>731</v>
      </c>
      <c r="D875" s="302"/>
      <c r="E875" s="374">
        <f>E481</f>
        <v>0</v>
      </c>
    </row>
    <row r="876" spans="1:5" ht="15" x14ac:dyDescent="0.2">
      <c r="A876" s="4"/>
      <c r="B876" s="299"/>
      <c r="C876" s="195"/>
      <c r="D876" s="302"/>
      <c r="E876" s="374"/>
    </row>
    <row r="877" spans="1:5" ht="15" x14ac:dyDescent="0.2">
      <c r="A877" s="4"/>
      <c r="B877" s="299"/>
      <c r="C877" s="195" t="s">
        <v>732</v>
      </c>
      <c r="D877" s="302"/>
      <c r="E877" s="374">
        <f>E518</f>
        <v>0</v>
      </c>
    </row>
    <row r="878" spans="1:5" ht="15" x14ac:dyDescent="0.2">
      <c r="A878" s="4"/>
      <c r="B878" s="299"/>
      <c r="C878" s="195"/>
      <c r="D878" s="302"/>
      <c r="E878" s="374"/>
    </row>
    <row r="879" spans="1:5" ht="15" x14ac:dyDescent="0.2">
      <c r="A879" s="4"/>
      <c r="B879" s="299"/>
      <c r="C879" s="195" t="s">
        <v>733</v>
      </c>
      <c r="D879" s="302"/>
      <c r="E879" s="374">
        <f>E552</f>
        <v>0</v>
      </c>
    </row>
    <row r="880" spans="1:5" ht="15" x14ac:dyDescent="0.2">
      <c r="A880" s="4"/>
      <c r="B880" s="299"/>
      <c r="C880" s="195"/>
      <c r="D880" s="302"/>
      <c r="E880" s="374"/>
    </row>
    <row r="881" spans="1:5" ht="15" x14ac:dyDescent="0.25">
      <c r="A881" s="1"/>
      <c r="B881" s="160"/>
      <c r="C881" s="195" t="s">
        <v>734</v>
      </c>
      <c r="D881" s="302"/>
      <c r="E881" s="364">
        <f>E594</f>
        <v>0</v>
      </c>
    </row>
    <row r="882" spans="1:5" ht="15" x14ac:dyDescent="0.25">
      <c r="A882" s="1"/>
      <c r="B882" s="160"/>
      <c r="C882" s="195"/>
      <c r="D882" s="302"/>
      <c r="E882" s="364"/>
    </row>
    <row r="883" spans="1:5" ht="15" x14ac:dyDescent="0.2">
      <c r="A883" s="4"/>
      <c r="B883" s="299"/>
      <c r="C883" s="195" t="s">
        <v>735</v>
      </c>
      <c r="D883" s="302"/>
      <c r="E883" s="374">
        <f>E629</f>
        <v>0</v>
      </c>
    </row>
    <row r="884" spans="1:5" ht="7.35" customHeight="1" x14ac:dyDescent="0.2">
      <c r="A884" s="4"/>
      <c r="B884" s="299"/>
      <c r="C884" s="195"/>
      <c r="D884" s="302"/>
      <c r="E884" s="374"/>
    </row>
    <row r="885" spans="1:5" ht="15" x14ac:dyDescent="0.25">
      <c r="A885" s="1"/>
      <c r="B885" s="160"/>
      <c r="C885" s="195" t="s">
        <v>736</v>
      </c>
      <c r="D885" s="302"/>
      <c r="E885" s="364">
        <f>E663</f>
        <v>0</v>
      </c>
    </row>
    <row r="886" spans="1:5" ht="11.45" customHeight="1" x14ac:dyDescent="0.25">
      <c r="A886" s="1"/>
      <c r="B886" s="160"/>
      <c r="C886" s="195"/>
      <c r="D886" s="302"/>
      <c r="E886" s="364"/>
    </row>
    <row r="887" spans="1:5" ht="15" x14ac:dyDescent="0.25">
      <c r="A887" s="1"/>
      <c r="B887" s="160"/>
      <c r="C887" s="195" t="s">
        <v>737</v>
      </c>
      <c r="D887" s="302"/>
      <c r="E887" s="364">
        <f>E690</f>
        <v>0</v>
      </c>
    </row>
    <row r="888" spans="1:5" ht="8.1" customHeight="1" x14ac:dyDescent="0.25">
      <c r="A888" s="1"/>
      <c r="B888" s="160"/>
      <c r="C888" s="195"/>
      <c r="D888" s="302"/>
      <c r="E888" s="364"/>
    </row>
    <row r="889" spans="1:5" ht="15" x14ac:dyDescent="0.25">
      <c r="A889" s="1"/>
      <c r="B889" s="160"/>
      <c r="C889" s="195" t="s">
        <v>738</v>
      </c>
      <c r="D889" s="302"/>
      <c r="E889" s="364">
        <f>E727</f>
        <v>0</v>
      </c>
    </row>
    <row r="890" spans="1:5" ht="9.6" customHeight="1" x14ac:dyDescent="0.25">
      <c r="A890" s="1"/>
      <c r="B890" s="160"/>
      <c r="C890" s="195"/>
      <c r="D890" s="302"/>
      <c r="E890" s="364"/>
    </row>
    <row r="891" spans="1:5" ht="15" x14ac:dyDescent="0.25">
      <c r="A891" s="1"/>
      <c r="B891" s="160"/>
      <c r="C891" s="195" t="s">
        <v>739</v>
      </c>
      <c r="D891" s="302"/>
      <c r="E891" s="364">
        <f>E763</f>
        <v>0</v>
      </c>
    </row>
    <row r="892" spans="1:5" ht="11.1" customHeight="1" x14ac:dyDescent="0.25">
      <c r="A892" s="1"/>
      <c r="B892" s="160"/>
      <c r="C892" s="195"/>
      <c r="D892" s="302"/>
      <c r="E892" s="364"/>
    </row>
    <row r="893" spans="1:5" ht="15" x14ac:dyDescent="0.25">
      <c r="A893" s="1"/>
      <c r="B893" s="160"/>
      <c r="C893" s="195" t="s">
        <v>740</v>
      </c>
      <c r="D893" s="302"/>
      <c r="E893" s="364">
        <f>E787</f>
        <v>0</v>
      </c>
    </row>
    <row r="894" spans="1:5" ht="10.5" customHeight="1" x14ac:dyDescent="0.25">
      <c r="A894" s="1"/>
      <c r="B894" s="160"/>
      <c r="C894" s="195"/>
      <c r="D894" s="302"/>
      <c r="E894" s="364"/>
    </row>
    <row r="895" spans="1:5" ht="15" x14ac:dyDescent="0.25">
      <c r="A895" s="1"/>
      <c r="B895" s="160"/>
      <c r="C895" s="195" t="s">
        <v>741</v>
      </c>
      <c r="D895" s="302"/>
      <c r="E895" s="364">
        <f>E808</f>
        <v>0</v>
      </c>
    </row>
    <row r="896" spans="1:5" ht="15" x14ac:dyDescent="0.25">
      <c r="A896" s="1"/>
      <c r="B896" s="160"/>
      <c r="C896" s="195"/>
      <c r="D896" s="302"/>
      <c r="E896" s="364"/>
    </row>
    <row r="897" spans="1:5" ht="15" x14ac:dyDescent="0.25">
      <c r="A897" s="1"/>
      <c r="B897" s="160"/>
      <c r="C897" s="195" t="s">
        <v>742</v>
      </c>
      <c r="D897" s="302"/>
      <c r="E897" s="364">
        <f>E845</f>
        <v>0</v>
      </c>
    </row>
    <row r="898" spans="1:5" ht="15" x14ac:dyDescent="0.25">
      <c r="A898" s="1"/>
      <c r="B898" s="160"/>
      <c r="C898" s="195"/>
      <c r="D898" s="302"/>
      <c r="E898" s="364"/>
    </row>
    <row r="899" spans="1:5" x14ac:dyDescent="0.2">
      <c r="A899" s="161"/>
      <c r="B899" s="157"/>
      <c r="C899" s="157"/>
      <c r="D899" s="367"/>
      <c r="E899" s="368"/>
    </row>
    <row r="900" spans="1:5" ht="9.75" customHeight="1" x14ac:dyDescent="0.25">
      <c r="A900" s="163"/>
      <c r="C900" s="166"/>
      <c r="D900" s="369"/>
      <c r="E900" s="364"/>
    </row>
    <row r="901" spans="1:5" ht="9.75" customHeight="1" x14ac:dyDescent="0.25">
      <c r="A901" s="163"/>
      <c r="C901" s="166"/>
      <c r="D901" s="369"/>
      <c r="E901" s="364"/>
    </row>
    <row r="902" spans="1:5" ht="15.75" thickBot="1" x14ac:dyDescent="0.25">
      <c r="A902" s="163"/>
      <c r="C902" s="370" t="s">
        <v>8</v>
      </c>
      <c r="D902" s="303"/>
      <c r="E902" s="371">
        <f>SUM(E852:E901)</f>
        <v>0</v>
      </c>
    </row>
    <row r="903" spans="1:5" ht="15" thickTop="1" x14ac:dyDescent="0.2"/>
  </sheetData>
  <pageMargins left="0.74803149606299213" right="0.27559055118110237" top="0.82677165354330717" bottom="0.82677165354330717" header="0.35433070866141736" footer="0.43307086614173229"/>
  <pageSetup paperSize="9" scale="90" orientation="portrait" useFirstPageNumber="1" r:id="rId1"/>
  <headerFooter alignWithMargins="0">
    <oddHeader>&amp;L&amp;UΠΑΣΥΔΥ PLATRES APARTMENTS
ΚΑΤΕΔΑΦΙΣΕΙΣ-ΜΕΤΑΤΡΟΠΕΣ
&amp;R&amp;"Arial,Bold"ΔΕΛΤΙΟ 1:
ΠΡΟΚΑΤΑΡΚΤΙΚΑ</oddHeader>
    <oddFooter>&amp;R 1/&amp;P</oddFooter>
  </headerFooter>
  <rowBreaks count="22" manualBreakCount="22">
    <brk id="40" max="4" man="1"/>
    <brk id="76" max="4" man="1"/>
    <brk id="106" max="4" man="1"/>
    <brk id="149" max="4" man="1"/>
    <brk id="240" max="4" man="1"/>
    <brk id="274" max="4" man="1"/>
    <brk id="316" max="4" man="1"/>
    <brk id="358" max="4" man="1"/>
    <brk id="404" max="4" man="1"/>
    <brk id="451" max="4" man="1"/>
    <brk id="483" max="4" man="1"/>
    <brk id="520" max="4" man="1"/>
    <brk id="554" max="4" man="1"/>
    <brk id="596" max="4" man="1"/>
    <brk id="631" max="4" man="1"/>
    <brk id="665" max="4" man="1"/>
    <brk id="692" max="4" man="1"/>
    <brk id="729" max="4" man="1"/>
    <brk id="765" max="4" man="1"/>
    <brk id="789" max="4" man="1"/>
    <brk id="810" max="4" man="1"/>
    <brk id="847"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D648-544F-4976-B631-55BF05415714}">
  <sheetPr>
    <tabColor theme="3"/>
  </sheetPr>
  <dimension ref="A1:M1639"/>
  <sheetViews>
    <sheetView view="pageBreakPreview" topLeftCell="A576" zoomScaleNormal="100" zoomScaleSheetLayoutView="100" workbookViewId="0">
      <selection activeCell="A589" sqref="A5:XFD589"/>
    </sheetView>
  </sheetViews>
  <sheetFormatPr defaultColWidth="8.85546875" defaultRowHeight="15" x14ac:dyDescent="0.25"/>
  <cols>
    <col min="1" max="1" width="3.42578125" style="11" customWidth="1"/>
    <col min="2" max="2" width="0.85546875" style="8" customWidth="1"/>
    <col min="3" max="3" width="49.28515625" style="12" customWidth="1"/>
    <col min="4" max="4" width="1.140625" style="13" customWidth="1"/>
    <col min="5" max="5" width="10.85546875" style="13" customWidth="1"/>
    <col min="6" max="6" width="0.5703125" style="8" customWidth="1"/>
    <col min="7" max="7" width="8.5703125" style="13" customWidth="1"/>
    <col min="8" max="8" width="12.140625" style="15" customWidth="1"/>
    <col min="9" max="9" width="11.5703125" style="14" customWidth="1"/>
    <col min="10" max="10" width="4" style="8" customWidth="1"/>
    <col min="11" max="11" width="53.42578125" style="8" customWidth="1"/>
    <col min="12" max="16384" width="8.85546875" style="8"/>
  </cols>
  <sheetData>
    <row r="1" spans="1:9" x14ac:dyDescent="0.25">
      <c r="A1" s="59"/>
      <c r="B1" s="60"/>
      <c r="C1" s="61"/>
      <c r="D1" s="62"/>
      <c r="E1" s="63"/>
      <c r="F1" s="60"/>
      <c r="G1" s="60"/>
      <c r="H1" s="143"/>
      <c r="I1" s="62"/>
    </row>
    <row r="2" spans="1:9" x14ac:dyDescent="0.25">
      <c r="A2" s="64"/>
      <c r="B2" s="65"/>
      <c r="C2" s="66"/>
      <c r="D2" s="67"/>
      <c r="E2" s="68"/>
      <c r="F2" s="69"/>
      <c r="G2" s="70"/>
      <c r="H2" s="144" t="s">
        <v>2</v>
      </c>
      <c r="I2" s="71"/>
    </row>
    <row r="3" spans="1:9" x14ac:dyDescent="0.25">
      <c r="A3" s="72"/>
      <c r="B3" s="73"/>
      <c r="C3" s="74" t="s">
        <v>0</v>
      </c>
      <c r="D3" s="75"/>
      <c r="E3" s="76" t="s">
        <v>3</v>
      </c>
      <c r="F3" s="77"/>
      <c r="G3" s="78" t="s">
        <v>1</v>
      </c>
      <c r="H3" s="145" t="s">
        <v>4</v>
      </c>
      <c r="I3" s="79" t="s">
        <v>5</v>
      </c>
    </row>
    <row r="4" spans="1:9" x14ac:dyDescent="0.25">
      <c r="A4" s="26"/>
      <c r="B4" s="10"/>
      <c r="C4" s="37"/>
      <c r="D4" s="41"/>
      <c r="E4" s="30"/>
      <c r="F4" s="28"/>
      <c r="G4" s="29"/>
      <c r="I4" s="35"/>
    </row>
    <row r="5" spans="1:9" x14ac:dyDescent="0.25">
      <c r="A5" s="26"/>
      <c r="B5" s="10"/>
      <c r="C5" s="150" t="s">
        <v>303</v>
      </c>
      <c r="D5" s="41"/>
      <c r="E5" s="30"/>
      <c r="F5" s="28"/>
      <c r="G5" s="29"/>
      <c r="I5" s="35"/>
    </row>
    <row r="6" spans="1:9" x14ac:dyDescent="0.25">
      <c r="A6" s="26"/>
      <c r="B6" s="10"/>
      <c r="C6" s="37"/>
      <c r="D6" s="41"/>
      <c r="E6" s="30"/>
      <c r="F6" s="28"/>
      <c r="G6" s="29"/>
      <c r="I6" s="35"/>
    </row>
    <row r="7" spans="1:9" x14ac:dyDescent="0.25">
      <c r="A7" s="26"/>
      <c r="B7" s="9"/>
      <c r="C7" s="33" t="s">
        <v>32</v>
      </c>
      <c r="D7" s="27"/>
      <c r="E7" s="30"/>
      <c r="F7" s="28"/>
      <c r="G7" s="29"/>
      <c r="H7" s="38"/>
      <c r="I7" s="32"/>
    </row>
    <row r="8" spans="1:9" x14ac:dyDescent="0.25">
      <c r="A8" s="26"/>
      <c r="B8" s="9"/>
      <c r="C8" s="37"/>
      <c r="D8" s="27"/>
      <c r="E8" s="30"/>
      <c r="F8" s="28"/>
      <c r="G8" s="29"/>
      <c r="H8" s="38"/>
      <c r="I8" s="32"/>
    </row>
    <row r="9" spans="1:9" ht="30" x14ac:dyDescent="0.25">
      <c r="A9" s="26"/>
      <c r="B9" s="9"/>
      <c r="C9" s="33" t="s">
        <v>25</v>
      </c>
      <c r="D9" s="27"/>
      <c r="E9" s="30"/>
      <c r="F9" s="28"/>
      <c r="G9" s="29"/>
      <c r="H9" s="38"/>
      <c r="I9" s="32"/>
    </row>
    <row r="10" spans="1:9" x14ac:dyDescent="0.25">
      <c r="A10" s="26"/>
      <c r="B10" s="9"/>
      <c r="C10" s="36"/>
      <c r="D10" s="27"/>
      <c r="E10" s="30"/>
      <c r="F10" s="28"/>
      <c r="G10" s="29"/>
      <c r="H10" s="38"/>
      <c r="I10" s="32"/>
    </row>
    <row r="11" spans="1:9" ht="28.5" x14ac:dyDescent="0.25">
      <c r="A11" s="1"/>
      <c r="B11" s="9"/>
      <c r="C11" s="37" t="s">
        <v>48</v>
      </c>
      <c r="D11" s="27"/>
      <c r="E11" s="30">
        <f>ROUND(33.66*0.7,0)</f>
        <v>24</v>
      </c>
      <c r="F11" s="28"/>
      <c r="G11" s="29" t="s">
        <v>21</v>
      </c>
      <c r="H11" s="38"/>
      <c r="I11" s="32"/>
    </row>
    <row r="12" spans="1:9" x14ac:dyDescent="0.25">
      <c r="A12" s="26"/>
      <c r="B12" s="9"/>
      <c r="C12" s="37"/>
      <c r="D12" s="27"/>
      <c r="E12" s="30"/>
      <c r="F12" s="28"/>
      <c r="G12" s="29"/>
      <c r="H12" s="38"/>
      <c r="I12" s="32"/>
    </row>
    <row r="13" spans="1:9" ht="28.5" x14ac:dyDescent="0.25">
      <c r="A13" s="1"/>
      <c r="B13" s="9"/>
      <c r="C13" s="37" t="s">
        <v>169</v>
      </c>
      <c r="D13" s="27"/>
      <c r="E13" s="30">
        <f>ROUND(46.28,0)</f>
        <v>46</v>
      </c>
      <c r="F13" s="28"/>
      <c r="G13" s="29" t="s">
        <v>20</v>
      </c>
      <c r="H13" s="38"/>
      <c r="I13" s="32"/>
    </row>
    <row r="14" spans="1:9" x14ac:dyDescent="0.25">
      <c r="A14" s="26"/>
      <c r="B14" s="9"/>
      <c r="C14" s="40"/>
      <c r="D14" s="41"/>
      <c r="E14" s="34"/>
      <c r="F14" s="28"/>
      <c r="G14" s="29"/>
      <c r="H14" s="38"/>
      <c r="I14" s="32"/>
    </row>
    <row r="15" spans="1:9" ht="28.5" x14ac:dyDescent="0.25">
      <c r="A15" s="1"/>
      <c r="B15" s="9"/>
      <c r="C15" s="37" t="s">
        <v>170</v>
      </c>
      <c r="D15" s="27"/>
      <c r="E15" s="30">
        <f>ROUND(5.02*1.5,0)</f>
        <v>8</v>
      </c>
      <c r="F15" s="28"/>
      <c r="G15" s="29" t="s">
        <v>21</v>
      </c>
      <c r="H15" s="38"/>
      <c r="I15" s="32"/>
    </row>
    <row r="16" spans="1:9" x14ac:dyDescent="0.25">
      <c r="A16" s="26"/>
      <c r="B16" s="9"/>
      <c r="C16" s="44"/>
      <c r="D16" s="27"/>
      <c r="E16" s="30"/>
      <c r="F16" s="28"/>
      <c r="G16" s="29"/>
      <c r="H16" s="38"/>
      <c r="I16" s="32"/>
    </row>
    <row r="17" spans="1:9" ht="28.5" x14ac:dyDescent="0.25">
      <c r="A17" s="1"/>
      <c r="B17" s="9"/>
      <c r="C17" s="37" t="s">
        <v>171</v>
      </c>
      <c r="D17" s="27"/>
      <c r="E17" s="30">
        <f>ROUND(62.9*1.2,0)</f>
        <v>75</v>
      </c>
      <c r="F17" s="28"/>
      <c r="G17" s="29" t="s">
        <v>21</v>
      </c>
      <c r="H17" s="38"/>
      <c r="I17" s="32"/>
    </row>
    <row r="18" spans="1:9" x14ac:dyDescent="0.25">
      <c r="A18" s="1"/>
      <c r="B18" s="9"/>
      <c r="C18" s="37"/>
      <c r="D18" s="27"/>
      <c r="E18" s="30"/>
      <c r="F18" s="28"/>
      <c r="G18" s="29"/>
      <c r="H18" s="38"/>
      <c r="I18" s="32"/>
    </row>
    <row r="19" spans="1:9" ht="28.5" x14ac:dyDescent="0.25">
      <c r="A19" s="1"/>
      <c r="B19" s="9"/>
      <c r="C19" s="37" t="s">
        <v>172</v>
      </c>
      <c r="D19" s="27"/>
      <c r="E19" s="30">
        <f>ROUND(29.19*1.2,0)</f>
        <v>35</v>
      </c>
      <c r="F19" s="28"/>
      <c r="G19" s="29" t="s">
        <v>21</v>
      </c>
      <c r="H19" s="38"/>
      <c r="I19" s="32"/>
    </row>
    <row r="20" spans="1:9" x14ac:dyDescent="0.25">
      <c r="A20" s="1"/>
      <c r="B20" s="9"/>
      <c r="C20" s="37"/>
      <c r="D20" s="27"/>
      <c r="E20" s="30"/>
      <c r="F20" s="28"/>
      <c r="G20" s="29"/>
      <c r="H20" s="38"/>
      <c r="I20" s="32"/>
    </row>
    <row r="21" spans="1:9" x14ac:dyDescent="0.25">
      <c r="A21" s="1"/>
      <c r="B21" s="9"/>
      <c r="C21" s="37" t="s">
        <v>190</v>
      </c>
      <c r="D21" s="27"/>
      <c r="E21" s="30">
        <f>ROUND(19.52*0.5*2,0)</f>
        <v>20</v>
      </c>
      <c r="F21" s="28"/>
      <c r="G21" s="29" t="s">
        <v>21</v>
      </c>
      <c r="H21" s="38"/>
      <c r="I21" s="32"/>
    </row>
    <row r="22" spans="1:9" x14ac:dyDescent="0.25">
      <c r="A22" s="1"/>
      <c r="B22" s="9"/>
      <c r="C22" s="37"/>
      <c r="D22" s="27"/>
      <c r="E22" s="30"/>
      <c r="F22" s="28"/>
      <c r="G22" s="29"/>
      <c r="H22" s="38"/>
      <c r="I22" s="32"/>
    </row>
    <row r="23" spans="1:9" x14ac:dyDescent="0.25">
      <c r="A23" s="1"/>
      <c r="B23" s="9"/>
      <c r="C23" s="37" t="s">
        <v>194</v>
      </c>
      <c r="D23" s="27"/>
      <c r="E23" s="30">
        <f>ROUND(44.16*3+24*1.2+21.6+265.45,0)</f>
        <v>448</v>
      </c>
      <c r="F23" s="28"/>
      <c r="G23" s="29" t="s">
        <v>20</v>
      </c>
      <c r="H23" s="38"/>
      <c r="I23" s="32"/>
    </row>
    <row r="24" spans="1:9" x14ac:dyDescent="0.25">
      <c r="A24" s="1"/>
      <c r="B24" s="9"/>
      <c r="C24" s="37"/>
      <c r="D24" s="27"/>
      <c r="E24" s="30"/>
      <c r="F24" s="28"/>
      <c r="G24" s="29"/>
      <c r="H24" s="38"/>
      <c r="I24" s="32"/>
    </row>
    <row r="25" spans="1:9" x14ac:dyDescent="0.25">
      <c r="A25" s="1"/>
      <c r="B25" s="9"/>
      <c r="C25" s="39" t="s">
        <v>195</v>
      </c>
      <c r="D25" s="27"/>
      <c r="E25" s="30">
        <f>ROUND(9.78+9.78+9.78+9.78+9.78,0)+1</f>
        <v>50</v>
      </c>
      <c r="F25" s="28"/>
      <c r="G25" s="29" t="s">
        <v>20</v>
      </c>
      <c r="H25" s="38"/>
      <c r="I25" s="32"/>
    </row>
    <row r="26" spans="1:9" x14ac:dyDescent="0.25">
      <c r="A26" s="1"/>
      <c r="B26" s="9"/>
      <c r="C26" s="37"/>
      <c r="D26" s="27"/>
      <c r="E26" s="30"/>
      <c r="F26" s="28"/>
      <c r="G26" s="29"/>
      <c r="H26" s="38"/>
      <c r="I26" s="32"/>
    </row>
    <row r="27" spans="1:9" x14ac:dyDescent="0.25">
      <c r="A27" s="1"/>
      <c r="B27" s="9"/>
      <c r="C27" s="37" t="s">
        <v>184</v>
      </c>
      <c r="D27" s="27"/>
      <c r="E27" s="151">
        <f>ROUND(30.22*2*0.4,0)</f>
        <v>24</v>
      </c>
      <c r="F27" s="28"/>
      <c r="G27" s="29" t="s">
        <v>21</v>
      </c>
      <c r="H27" s="38"/>
      <c r="I27" s="32"/>
    </row>
    <row r="28" spans="1:9" x14ac:dyDescent="0.25">
      <c r="A28" s="1"/>
      <c r="B28" s="9"/>
      <c r="C28" s="37"/>
      <c r="D28" s="27"/>
      <c r="E28" s="151"/>
      <c r="F28" s="28"/>
      <c r="G28" s="29"/>
      <c r="H28" s="38"/>
      <c r="I28" s="32"/>
    </row>
    <row r="29" spans="1:9" ht="30" x14ac:dyDescent="0.25">
      <c r="A29" s="1"/>
      <c r="B29" s="9"/>
      <c r="C29" s="45" t="s">
        <v>49</v>
      </c>
      <c r="D29" s="27"/>
      <c r="E29" s="30"/>
      <c r="F29" s="28"/>
      <c r="G29" s="29"/>
      <c r="H29" s="38"/>
      <c r="I29" s="32"/>
    </row>
    <row r="30" spans="1:9" x14ac:dyDescent="0.25">
      <c r="A30" s="1"/>
      <c r="B30" s="9"/>
      <c r="C30" s="37"/>
      <c r="D30" s="27"/>
      <c r="E30" s="30"/>
      <c r="F30" s="28"/>
      <c r="G30" s="29"/>
      <c r="H30" s="38"/>
      <c r="I30" s="32"/>
    </row>
    <row r="31" spans="1:9" ht="28.5" x14ac:dyDescent="0.25">
      <c r="A31" s="1"/>
      <c r="B31" s="9"/>
      <c r="C31" s="37" t="s">
        <v>165</v>
      </c>
      <c r="D31" s="27"/>
      <c r="E31" s="30">
        <f>ROUND(8.05*2.9*2+1.2*2.9*2+33.19*2.9*2+48.03*2.9*2+99.09*2.9+11.06*2.9+1.44*2.9+18.96*2.9+21.79*1.9,0)</f>
        <v>945</v>
      </c>
      <c r="F31" s="28"/>
      <c r="G31" s="29" t="s">
        <v>21</v>
      </c>
      <c r="H31" s="38"/>
      <c r="I31" s="32"/>
    </row>
    <row r="32" spans="1:9" x14ac:dyDescent="0.25">
      <c r="A32" s="1"/>
      <c r="B32" s="9"/>
      <c r="C32" s="37"/>
      <c r="D32" s="27"/>
      <c r="E32" s="30"/>
      <c r="F32" s="28"/>
      <c r="G32" s="29"/>
      <c r="H32" s="38"/>
      <c r="I32" s="32"/>
    </row>
    <row r="33" spans="1:9" ht="28.5" x14ac:dyDescent="0.25">
      <c r="A33" s="1"/>
      <c r="B33" s="9"/>
      <c r="C33" s="37" t="s">
        <v>173</v>
      </c>
      <c r="D33" s="27"/>
      <c r="E33" s="30">
        <f>ROUND(133.85*2.5+22.73*0.4,0)+1</f>
        <v>345</v>
      </c>
      <c r="F33" s="28"/>
      <c r="G33" s="29" t="s">
        <v>21</v>
      </c>
      <c r="H33" s="38"/>
      <c r="I33" s="32"/>
    </row>
    <row r="34" spans="1:9" x14ac:dyDescent="0.25">
      <c r="A34" s="1"/>
      <c r="B34" s="9"/>
      <c r="C34" s="37"/>
      <c r="D34" s="27"/>
      <c r="E34" s="30"/>
      <c r="F34" s="28"/>
      <c r="G34" s="29"/>
      <c r="H34" s="38"/>
      <c r="I34" s="32"/>
    </row>
    <row r="35" spans="1:9" ht="28.5" x14ac:dyDescent="0.25">
      <c r="A35" s="1"/>
      <c r="B35" s="9"/>
      <c r="C35" s="37" t="s">
        <v>166</v>
      </c>
      <c r="D35" s="27"/>
      <c r="E35" s="30">
        <f>ROUND(50.2*1.95+1.67*1+23.89*1.1+51.88+1.3+42.75*1.4+34.45*1.5,0)</f>
        <v>291</v>
      </c>
      <c r="F35" s="28"/>
      <c r="G35" s="29" t="s">
        <v>21</v>
      </c>
      <c r="H35" s="38"/>
      <c r="I35" s="32"/>
    </row>
    <row r="36" spans="1:9" x14ac:dyDescent="0.25">
      <c r="A36" s="1"/>
      <c r="B36" s="9"/>
      <c r="C36" s="37"/>
      <c r="D36" s="27"/>
      <c r="E36" s="30"/>
      <c r="F36" s="28"/>
      <c r="G36" s="29"/>
      <c r="H36" s="38"/>
      <c r="I36" s="32"/>
    </row>
    <row r="37" spans="1:9" ht="28.5" x14ac:dyDescent="0.25">
      <c r="A37" s="1"/>
      <c r="B37" s="9"/>
      <c r="C37" s="37" t="s">
        <v>167</v>
      </c>
      <c r="D37" s="27"/>
      <c r="E37" s="30">
        <f>ROUND(767.01-(8.05*0.2+1.2*0.3+33.19*0.4+48.03*0.25+99.09*0.35+11.06*0.35+18.96*0.4+21.79*0.35),0)</f>
        <v>686</v>
      </c>
      <c r="F37" s="28"/>
      <c r="G37" s="29" t="s">
        <v>21</v>
      </c>
      <c r="H37" s="38"/>
      <c r="I37" s="32"/>
    </row>
    <row r="38" spans="1:9" x14ac:dyDescent="0.25">
      <c r="A38" s="1"/>
      <c r="B38" s="9"/>
      <c r="C38" s="37"/>
      <c r="D38" s="27"/>
      <c r="E38" s="30"/>
      <c r="F38" s="28"/>
      <c r="G38" s="29"/>
      <c r="H38" s="38"/>
      <c r="I38" s="32"/>
    </row>
    <row r="39" spans="1:9" ht="28.5" x14ac:dyDescent="0.25">
      <c r="A39" s="1"/>
      <c r="B39" s="9"/>
      <c r="C39" s="37" t="s">
        <v>168</v>
      </c>
      <c r="D39" s="27"/>
      <c r="E39" s="30">
        <f>ROUND(147.03,0)</f>
        <v>147</v>
      </c>
      <c r="F39" s="28"/>
      <c r="G39" s="29" t="s">
        <v>21</v>
      </c>
      <c r="H39" s="38"/>
      <c r="I39" s="32"/>
    </row>
    <row r="40" spans="1:9" x14ac:dyDescent="0.25">
      <c r="A40" s="1"/>
      <c r="B40" s="9"/>
      <c r="C40" s="37"/>
      <c r="D40" s="27"/>
      <c r="E40" s="30"/>
      <c r="F40" s="28"/>
      <c r="G40" s="29"/>
      <c r="H40" s="38"/>
      <c r="I40" s="32"/>
    </row>
    <row r="41" spans="1:9" ht="28.5" x14ac:dyDescent="0.25">
      <c r="A41" s="1"/>
      <c r="B41" s="9"/>
      <c r="C41" s="37" t="s">
        <v>174</v>
      </c>
      <c r="D41" s="27"/>
      <c r="E41" s="30">
        <f>ROUND(10.73*2.9*2+99.52*2.9+10.54*2.9+18.78*2.9+2.22*2.9*2+54.9*2.9+32.81*2.9*2+0.99*2.9,0)</f>
        <v>801</v>
      </c>
      <c r="F41" s="28"/>
      <c r="G41" s="29" t="s">
        <v>21</v>
      </c>
      <c r="H41" s="38"/>
      <c r="I41" s="32"/>
    </row>
    <row r="42" spans="1:9" x14ac:dyDescent="0.25">
      <c r="A42" s="1"/>
      <c r="B42" s="9"/>
      <c r="C42" s="37"/>
      <c r="D42" s="27"/>
      <c r="E42" s="30"/>
      <c r="F42" s="28"/>
      <c r="G42" s="29"/>
      <c r="H42" s="38"/>
      <c r="I42" s="32"/>
    </row>
    <row r="43" spans="1:9" ht="28.5" x14ac:dyDescent="0.25">
      <c r="A43" s="1"/>
      <c r="B43" s="9"/>
      <c r="C43" s="37" t="s">
        <v>175</v>
      </c>
      <c r="D43" s="27"/>
      <c r="E43" s="30">
        <f>ROUND(169.66*2.9,0)</f>
        <v>492</v>
      </c>
      <c r="F43" s="28"/>
      <c r="G43" s="29" t="s">
        <v>21</v>
      </c>
      <c r="H43" s="38"/>
      <c r="I43" s="32"/>
    </row>
    <row r="44" spans="1:9" x14ac:dyDescent="0.25">
      <c r="A44" s="1"/>
      <c r="B44" s="9"/>
      <c r="C44" s="37"/>
      <c r="D44" s="27"/>
      <c r="E44" s="30"/>
      <c r="F44" s="28"/>
      <c r="G44" s="29"/>
      <c r="H44" s="38"/>
      <c r="I44" s="32"/>
    </row>
    <row r="45" spans="1:9" ht="28.5" x14ac:dyDescent="0.25">
      <c r="A45" s="1"/>
      <c r="B45" s="9"/>
      <c r="C45" s="37" t="s">
        <v>176</v>
      </c>
      <c r="D45" s="27"/>
      <c r="E45" s="30">
        <f>ROUND(50.3*1.95+1.67*1+1.8*3.35+9.55*1.05+52.83*1.1+8*1.15+17.8*1.2+47.98*1.3+49.53*1.4+40.8*1.5+18.46*1.6,0)</f>
        <v>427</v>
      </c>
      <c r="F45" s="28"/>
      <c r="G45" s="29" t="s">
        <v>21</v>
      </c>
      <c r="H45" s="38"/>
      <c r="I45" s="32"/>
    </row>
    <row r="46" spans="1:9" x14ac:dyDescent="0.25">
      <c r="A46" s="1"/>
      <c r="B46" s="9"/>
      <c r="C46" s="37"/>
      <c r="D46" s="27"/>
      <c r="E46" s="30"/>
      <c r="F46" s="28"/>
      <c r="G46" s="29"/>
      <c r="H46" s="38"/>
      <c r="I46" s="32"/>
    </row>
    <row r="47" spans="1:9" ht="28.5" x14ac:dyDescent="0.25">
      <c r="A47" s="1"/>
      <c r="B47" s="9"/>
      <c r="C47" s="37" t="s">
        <v>177</v>
      </c>
      <c r="D47" s="27"/>
      <c r="E47" s="30">
        <f>ROUND(1110.4-1*27.77-10.73*0.25-99.52*0.3-10.54*0.3-18.78*0.4-2.22*0.35-54.9-0.3-32.81*0.4,0)</f>
        <v>970</v>
      </c>
      <c r="F47" s="28"/>
      <c r="G47" s="29" t="s">
        <v>21</v>
      </c>
      <c r="H47" s="38"/>
      <c r="I47" s="32"/>
    </row>
    <row r="48" spans="1:9" x14ac:dyDescent="0.25">
      <c r="A48" s="1"/>
      <c r="B48" s="9"/>
      <c r="C48" s="37"/>
      <c r="D48" s="27"/>
      <c r="E48" s="30"/>
      <c r="F48" s="28"/>
      <c r="G48" s="29"/>
      <c r="H48" s="38"/>
      <c r="I48" s="32"/>
    </row>
    <row r="49" spans="1:9" ht="28.5" x14ac:dyDescent="0.25">
      <c r="A49" s="1"/>
      <c r="B49" s="9"/>
      <c r="C49" s="37" t="s">
        <v>178</v>
      </c>
      <c r="D49" s="27"/>
      <c r="E49" s="30">
        <f>ROUND(147.03,0)</f>
        <v>147</v>
      </c>
      <c r="F49" s="28"/>
      <c r="G49" s="29" t="s">
        <v>21</v>
      </c>
      <c r="H49" s="38"/>
      <c r="I49" s="32"/>
    </row>
    <row r="50" spans="1:9" x14ac:dyDescent="0.25">
      <c r="A50" s="1"/>
      <c r="B50" s="9"/>
      <c r="C50" s="37"/>
      <c r="D50" s="27"/>
      <c r="E50" s="30"/>
      <c r="F50" s="28"/>
      <c r="G50" s="29"/>
      <c r="H50" s="38"/>
      <c r="I50" s="32"/>
    </row>
    <row r="51" spans="1:9" ht="28.5" x14ac:dyDescent="0.25">
      <c r="A51" s="1"/>
      <c r="B51" s="9"/>
      <c r="C51" s="37" t="s">
        <v>179</v>
      </c>
      <c r="D51" s="27"/>
      <c r="E51" s="151">
        <f>ROUND(9.15*2*3.4+2.68*2.9*2+7.13*2.9*2+2.7*4.1*2+2.84*4.1+2.61*6+1.44*2.9*2+4.9*1.3*2+4.9*0.65*2+7.87*4*2+8.24*4*2+12.6*3.4*2+7.87*4+10.99*2.2+82.15*2.9+14.59*3.4+23.72*2.9+3.52*0.5*2+35.71*2.9*2,0)</f>
        <v>1034</v>
      </c>
      <c r="F51" s="28"/>
      <c r="G51" s="29" t="s">
        <v>21</v>
      </c>
      <c r="H51" s="38"/>
      <c r="I51" s="32"/>
    </row>
    <row r="52" spans="1:9" x14ac:dyDescent="0.25">
      <c r="A52" s="1"/>
      <c r="B52" s="9"/>
      <c r="C52" s="37"/>
      <c r="D52" s="27"/>
      <c r="E52" s="151"/>
      <c r="F52" s="28"/>
      <c r="G52" s="29"/>
      <c r="H52" s="38"/>
      <c r="I52" s="32"/>
    </row>
    <row r="53" spans="1:9" ht="28.5" x14ac:dyDescent="0.25">
      <c r="A53" s="1"/>
      <c r="B53" s="9"/>
      <c r="C53" s="37" t="s">
        <v>180</v>
      </c>
      <c r="D53" s="27"/>
      <c r="E53" s="151">
        <f>ROUND(170.33*2.3+11.2*0.6,0)</f>
        <v>398</v>
      </c>
      <c r="F53" s="28"/>
      <c r="G53" s="29" t="s">
        <v>21</v>
      </c>
      <c r="H53" s="38"/>
      <c r="I53" s="32"/>
    </row>
    <row r="54" spans="1:9" x14ac:dyDescent="0.25">
      <c r="A54" s="1"/>
      <c r="B54" s="9"/>
      <c r="C54" s="37"/>
      <c r="D54" s="27"/>
      <c r="E54" s="151"/>
      <c r="F54" s="28"/>
      <c r="G54" s="29"/>
      <c r="H54" s="38"/>
      <c r="I54" s="32"/>
    </row>
    <row r="55" spans="1:9" ht="28.5" x14ac:dyDescent="0.25">
      <c r="A55" s="1"/>
      <c r="B55" s="9"/>
      <c r="C55" s="37" t="s">
        <v>181</v>
      </c>
      <c r="D55" s="27"/>
      <c r="E55" s="151">
        <f>ROUND(50.3*1.95+1.67*1+9.55*2.65+1.8*1.05+43.29*1.1+6.16*1.7+8*1.15+17.8*1.2+48*1.3+47.98*1.5+18.85*1.6,0)</f>
        <v>380</v>
      </c>
      <c r="F55" s="28"/>
      <c r="G55" s="29" t="s">
        <v>21</v>
      </c>
      <c r="H55" s="38"/>
      <c r="I55" s="32"/>
    </row>
    <row r="56" spans="1:9" x14ac:dyDescent="0.25">
      <c r="A56" s="1"/>
      <c r="B56" s="9"/>
      <c r="C56" s="37"/>
      <c r="D56" s="27"/>
      <c r="E56" s="151"/>
      <c r="F56" s="28"/>
      <c r="G56" s="29"/>
      <c r="H56" s="38"/>
      <c r="I56" s="32"/>
    </row>
    <row r="57" spans="1:9" ht="28.5" x14ac:dyDescent="0.25">
      <c r="A57" s="1"/>
      <c r="B57" s="9"/>
      <c r="C57" s="37" t="s">
        <v>182</v>
      </c>
      <c r="D57" s="27"/>
      <c r="E57" s="151">
        <f>ROUND(1114.79*0.2-85.43*0.2,0)</f>
        <v>206</v>
      </c>
      <c r="F57" s="28"/>
      <c r="G57" s="29" t="s">
        <v>21</v>
      </c>
      <c r="H57" s="38"/>
      <c r="I57" s="32"/>
    </row>
    <row r="58" spans="1:9" x14ac:dyDescent="0.25">
      <c r="A58" s="1"/>
      <c r="B58" s="9"/>
      <c r="C58" s="37"/>
      <c r="D58" s="27"/>
      <c r="E58" s="151"/>
      <c r="F58" s="28"/>
      <c r="G58" s="29"/>
      <c r="H58" s="38"/>
      <c r="I58" s="32"/>
    </row>
    <row r="59" spans="1:9" ht="28.5" x14ac:dyDescent="0.25">
      <c r="A59" s="1"/>
      <c r="B59" s="9"/>
      <c r="C59" s="37" t="s">
        <v>185</v>
      </c>
      <c r="D59" s="27"/>
      <c r="E59" s="151">
        <f>ROUND(131.78,0)</f>
        <v>132</v>
      </c>
      <c r="F59" s="28"/>
      <c r="G59" s="29" t="s">
        <v>21</v>
      </c>
      <c r="H59" s="38"/>
      <c r="I59" s="32"/>
    </row>
    <row r="60" spans="1:9" x14ac:dyDescent="0.25">
      <c r="A60" s="1"/>
      <c r="B60" s="9"/>
      <c r="C60" s="37"/>
      <c r="D60" s="27"/>
      <c r="E60" s="151"/>
      <c r="F60" s="28"/>
      <c r="G60" s="29"/>
      <c r="H60" s="38"/>
      <c r="I60" s="32"/>
    </row>
    <row r="61" spans="1:9" x14ac:dyDescent="0.25">
      <c r="A61" s="1"/>
      <c r="B61" s="9"/>
      <c r="C61" s="37" t="s">
        <v>183</v>
      </c>
      <c r="D61" s="27"/>
      <c r="E61" s="151">
        <f>ROUND(31.51*1.2*2+10.92*1.3*2+4.9*0.1*2+2.91*0.2*2+20*1.3*2+8.59*1.3*2,0)</f>
        <v>180</v>
      </c>
      <c r="F61" s="28"/>
      <c r="G61" s="29" t="s">
        <v>21</v>
      </c>
      <c r="H61" s="38"/>
      <c r="I61" s="32"/>
    </row>
    <row r="62" spans="1:9" x14ac:dyDescent="0.25">
      <c r="A62" s="1"/>
      <c r="B62" s="9"/>
      <c r="C62" s="37"/>
      <c r="D62" s="27"/>
      <c r="E62" s="151"/>
      <c r="F62" s="28"/>
      <c r="G62" s="29"/>
      <c r="H62" s="38"/>
      <c r="I62" s="32"/>
    </row>
    <row r="63" spans="1:9" x14ac:dyDescent="0.25">
      <c r="A63" s="1"/>
      <c r="B63" s="9"/>
      <c r="C63" s="37" t="s">
        <v>186</v>
      </c>
      <c r="D63" s="27"/>
      <c r="E63" s="151">
        <f>ROUND(12.64*2.9*2+0.8*4.1*2+7.92*2*3+6*2.7*2+3*2.4*2+3.8*2.9*2+12.61*4*2+84.9*2.9+7.54*3.8*6.55*1.1*2+1.17*0.15*2+25.94*2.4*2,0)+9</f>
        <v>1090</v>
      </c>
      <c r="F63" s="28"/>
      <c r="G63" s="29" t="s">
        <v>21</v>
      </c>
      <c r="H63" s="38"/>
      <c r="I63" s="32"/>
    </row>
    <row r="64" spans="1:9" x14ac:dyDescent="0.25">
      <c r="A64" s="1"/>
      <c r="B64" s="9"/>
      <c r="C64" s="37"/>
      <c r="D64" s="27"/>
      <c r="E64" s="30"/>
      <c r="F64" s="28"/>
      <c r="G64" s="29"/>
      <c r="H64" s="38"/>
      <c r="I64" s="32"/>
    </row>
    <row r="65" spans="1:9" x14ac:dyDescent="0.25">
      <c r="A65" s="1"/>
      <c r="B65" s="9"/>
      <c r="C65" s="37" t="s">
        <v>187</v>
      </c>
      <c r="D65" s="27"/>
      <c r="E65" s="151">
        <f>ROUND(176.82*2.5+103.43*0.4,0)+2</f>
        <v>485</v>
      </c>
      <c r="F65" s="28"/>
      <c r="G65" s="29" t="s">
        <v>21</v>
      </c>
      <c r="H65" s="38"/>
      <c r="I65" s="32"/>
    </row>
    <row r="66" spans="1:9" x14ac:dyDescent="0.25">
      <c r="A66" s="1"/>
      <c r="B66" s="9"/>
      <c r="C66" s="37"/>
      <c r="D66" s="27"/>
      <c r="E66" s="30"/>
      <c r="F66" s="28"/>
      <c r="G66" s="29"/>
      <c r="H66" s="38"/>
      <c r="I66" s="32"/>
    </row>
    <row r="67" spans="1:9" x14ac:dyDescent="0.25">
      <c r="A67" s="1"/>
      <c r="B67" s="9"/>
      <c r="C67" s="37" t="s">
        <v>188</v>
      </c>
      <c r="D67" s="27"/>
      <c r="E67" s="151">
        <f>ROUND(14.9*1.8+50.3*1.95+1.67*1+14.5*1.05+5.23*2.1+90.18*1.1+6.82*1.4+13.15*1.5+5.95*1.2+2.78*0.8+3.65*0.9+3.65*1.2+36.73*1.3+0.93*1.7+21.65*1.4+3.52*1.7+35.03*1.5+3.82*1.8,0)+2</f>
        <v>445</v>
      </c>
      <c r="F67" s="28"/>
      <c r="G67" s="29" t="s">
        <v>21</v>
      </c>
      <c r="H67" s="38"/>
      <c r="I67" s="32"/>
    </row>
    <row r="68" spans="1:9" x14ac:dyDescent="0.25">
      <c r="A68" s="1"/>
      <c r="B68" s="9"/>
      <c r="C68" s="37"/>
      <c r="D68" s="27"/>
      <c r="E68" s="30"/>
      <c r="F68" s="28"/>
      <c r="G68" s="29"/>
      <c r="H68" s="38"/>
      <c r="I68" s="32"/>
    </row>
    <row r="69" spans="1:9" x14ac:dyDescent="0.25">
      <c r="A69" s="1"/>
      <c r="B69" s="9"/>
      <c r="C69" s="37" t="s">
        <v>191</v>
      </c>
      <c r="D69" s="27"/>
      <c r="E69" s="151">
        <f>ROUND(902.46-92.31,0)</f>
        <v>810</v>
      </c>
      <c r="F69" s="28"/>
      <c r="G69" s="29" t="s">
        <v>21</v>
      </c>
      <c r="H69" s="38"/>
      <c r="I69" s="32"/>
    </row>
    <row r="70" spans="1:9" x14ac:dyDescent="0.25">
      <c r="A70" s="1"/>
      <c r="B70" s="9"/>
      <c r="C70" s="37"/>
      <c r="D70" s="27"/>
      <c r="E70" s="30"/>
      <c r="F70" s="28"/>
      <c r="G70" s="29"/>
      <c r="H70" s="38"/>
      <c r="I70" s="32"/>
    </row>
    <row r="71" spans="1:9" x14ac:dyDescent="0.25">
      <c r="A71" s="1"/>
      <c r="B71" s="9"/>
      <c r="C71" s="37" t="s">
        <v>193</v>
      </c>
      <c r="D71" s="27"/>
      <c r="E71" s="151">
        <f>ROUND(30.04,0)</f>
        <v>30</v>
      </c>
      <c r="F71" s="28"/>
      <c r="G71" s="29" t="s">
        <v>21</v>
      </c>
      <c r="H71" s="38"/>
      <c r="I71" s="32"/>
    </row>
    <row r="72" spans="1:9" x14ac:dyDescent="0.25">
      <c r="A72" s="1"/>
      <c r="B72" s="9"/>
      <c r="C72" s="37"/>
      <c r="D72" s="27"/>
      <c r="E72" s="30"/>
      <c r="F72" s="28"/>
      <c r="G72" s="29"/>
      <c r="H72" s="38"/>
      <c r="I72" s="32"/>
    </row>
    <row r="73" spans="1:9" x14ac:dyDescent="0.25">
      <c r="A73" s="1"/>
      <c r="B73" s="9"/>
      <c r="C73" s="37" t="s">
        <v>189</v>
      </c>
      <c r="D73" s="27"/>
      <c r="E73" s="30">
        <f>ROUND(40.73*1*2+13.87*1.2*2+134.54*1.4*2+25.36*1.9*2+9.02*0.2*2+4*0.2*0.2+7.19*0.25*2+5.44*0.5*2+8.22*0.1*2+2.74*0.1*2+10.28*1.2*2+42.96*0.25*2+1.57*0.25*2+12.14*0.3*2+9.54*0.3*2+41.89*0.65*2,0)</f>
        <v>717</v>
      </c>
      <c r="F73" s="28"/>
      <c r="G73" s="29" t="s">
        <v>21</v>
      </c>
      <c r="H73" s="38"/>
      <c r="I73" s="32"/>
    </row>
    <row r="74" spans="1:9" x14ac:dyDescent="0.25">
      <c r="A74" s="1"/>
      <c r="B74" s="9"/>
      <c r="C74" s="37"/>
      <c r="D74" s="27"/>
      <c r="E74" s="30"/>
      <c r="F74" s="28"/>
      <c r="G74" s="29"/>
      <c r="H74" s="38"/>
      <c r="I74" s="32"/>
    </row>
    <row r="75" spans="1:9" x14ac:dyDescent="0.25">
      <c r="A75" s="1"/>
      <c r="B75" s="9"/>
      <c r="C75" s="37" t="s">
        <v>192</v>
      </c>
      <c r="D75" s="27"/>
      <c r="E75" s="151">
        <f>ROUND(92.31,0)</f>
        <v>92</v>
      </c>
      <c r="F75" s="28"/>
      <c r="G75" s="29" t="s">
        <v>21</v>
      </c>
      <c r="H75" s="38"/>
      <c r="I75" s="32"/>
    </row>
    <row r="76" spans="1:9" x14ac:dyDescent="0.25">
      <c r="A76" s="1"/>
      <c r="B76" s="9"/>
      <c r="C76" s="37"/>
      <c r="D76" s="27"/>
      <c r="E76" s="30"/>
      <c r="F76" s="28"/>
      <c r="G76" s="29"/>
      <c r="H76" s="38"/>
      <c r="I76" s="32"/>
    </row>
    <row r="77" spans="1:9" x14ac:dyDescent="0.25">
      <c r="A77" s="1"/>
      <c r="B77" s="9"/>
      <c r="C77" s="37" t="s">
        <v>200</v>
      </c>
      <c r="D77" s="27"/>
      <c r="E77" s="151">
        <f>ROUND(161.72,0)</f>
        <v>162</v>
      </c>
      <c r="F77" s="28"/>
      <c r="G77" s="29" t="s">
        <v>20</v>
      </c>
      <c r="H77" s="38"/>
      <c r="I77" s="32"/>
    </row>
    <row r="78" spans="1:9" x14ac:dyDescent="0.25">
      <c r="A78" s="1"/>
      <c r="B78" s="9"/>
      <c r="C78" s="37"/>
      <c r="D78" s="27"/>
      <c r="E78" s="30"/>
      <c r="F78" s="28"/>
      <c r="G78" s="29"/>
      <c r="H78" s="38"/>
      <c r="I78" s="32"/>
    </row>
    <row r="79" spans="1:9" ht="28.5" x14ac:dyDescent="0.25">
      <c r="A79" s="1"/>
      <c r="B79" s="9"/>
      <c r="C79" s="37" t="s">
        <v>196</v>
      </c>
      <c r="D79" s="27"/>
      <c r="E79" s="151">
        <f>ROUND(62.96,0)</f>
        <v>63</v>
      </c>
      <c r="F79" s="28"/>
      <c r="G79" s="29" t="s">
        <v>20</v>
      </c>
      <c r="H79" s="38"/>
      <c r="I79" s="32"/>
    </row>
    <row r="80" spans="1:9" x14ac:dyDescent="0.25">
      <c r="A80" s="1"/>
      <c r="B80" s="9"/>
      <c r="C80" s="37"/>
      <c r="D80" s="27"/>
      <c r="E80" s="30"/>
      <c r="F80" s="28"/>
      <c r="G80" s="29"/>
      <c r="H80" s="38"/>
      <c r="I80" s="32"/>
    </row>
    <row r="81" spans="1:9" ht="28.5" x14ac:dyDescent="0.25">
      <c r="A81" s="1"/>
      <c r="B81" s="9"/>
      <c r="C81" s="37" t="s">
        <v>197</v>
      </c>
      <c r="D81" s="27"/>
      <c r="E81" s="151">
        <f>ROUND(103.05,0)</f>
        <v>103</v>
      </c>
      <c r="F81" s="28"/>
      <c r="G81" s="29" t="s">
        <v>20</v>
      </c>
      <c r="H81" s="38"/>
      <c r="I81" s="32"/>
    </row>
    <row r="82" spans="1:9" x14ac:dyDescent="0.25">
      <c r="A82" s="1"/>
      <c r="B82" s="9"/>
      <c r="C82" s="37"/>
      <c r="D82" s="27"/>
      <c r="E82" s="30"/>
      <c r="F82" s="28"/>
      <c r="G82" s="29"/>
      <c r="H82" s="38"/>
      <c r="I82" s="32"/>
    </row>
    <row r="83" spans="1:9" ht="28.5" x14ac:dyDescent="0.25">
      <c r="A83" s="1"/>
      <c r="B83" s="9"/>
      <c r="C83" s="37" t="s">
        <v>198</v>
      </c>
      <c r="D83" s="27"/>
      <c r="E83" s="151">
        <f>ROUND(121.82,0)</f>
        <v>122</v>
      </c>
      <c r="F83" s="28"/>
      <c r="G83" s="29" t="s">
        <v>20</v>
      </c>
      <c r="H83" s="38"/>
      <c r="I83" s="32"/>
    </row>
    <row r="84" spans="1:9" x14ac:dyDescent="0.25">
      <c r="A84" s="1"/>
      <c r="B84" s="9"/>
      <c r="C84" s="37"/>
      <c r="D84" s="27"/>
      <c r="E84" s="30"/>
      <c r="F84" s="28"/>
      <c r="G84" s="29"/>
      <c r="H84" s="38"/>
      <c r="I84" s="32"/>
    </row>
    <row r="85" spans="1:9" ht="28.5" x14ac:dyDescent="0.25">
      <c r="A85" s="1"/>
      <c r="B85" s="9"/>
      <c r="C85" s="37" t="s">
        <v>199</v>
      </c>
      <c r="D85" s="27"/>
      <c r="E85" s="151">
        <f>ROUND(93.74,0)</f>
        <v>94</v>
      </c>
      <c r="F85" s="28"/>
      <c r="G85" s="29" t="s">
        <v>20</v>
      </c>
      <c r="H85" s="38"/>
      <c r="I85" s="32"/>
    </row>
    <row r="86" spans="1:9" x14ac:dyDescent="0.25">
      <c r="A86" s="1"/>
      <c r="B86" s="9"/>
      <c r="C86" s="37"/>
      <c r="D86" s="27"/>
      <c r="E86" s="151"/>
      <c r="F86" s="28"/>
      <c r="G86" s="29"/>
      <c r="H86" s="38"/>
      <c r="I86" s="32"/>
    </row>
    <row r="87" spans="1:9" x14ac:dyDescent="0.25">
      <c r="A87" s="1"/>
      <c r="B87" s="9"/>
      <c r="C87" s="37" t="s">
        <v>327</v>
      </c>
      <c r="D87" s="27"/>
      <c r="E87" s="151">
        <f>ROUND(13,0)</f>
        <v>13</v>
      </c>
      <c r="F87" s="28"/>
      <c r="G87" s="29" t="s">
        <v>21</v>
      </c>
      <c r="H87" s="38"/>
      <c r="I87" s="32"/>
    </row>
    <row r="88" spans="1:9" x14ac:dyDescent="0.25">
      <c r="A88" s="1"/>
      <c r="B88" s="9"/>
      <c r="C88" s="37"/>
      <c r="D88" s="27"/>
      <c r="E88" s="151"/>
      <c r="F88" s="28"/>
      <c r="G88" s="29"/>
      <c r="H88" s="38"/>
      <c r="I88" s="32"/>
    </row>
    <row r="89" spans="1:9" x14ac:dyDescent="0.25">
      <c r="A89" s="1"/>
      <c r="B89" s="9"/>
      <c r="C89" s="150" t="s">
        <v>201</v>
      </c>
      <c r="D89" s="27"/>
      <c r="E89" s="151"/>
      <c r="F89" s="28"/>
      <c r="G89" s="29"/>
      <c r="H89" s="38"/>
      <c r="I89" s="32"/>
    </row>
    <row r="90" spans="1:9" x14ac:dyDescent="0.25">
      <c r="A90" s="1"/>
      <c r="B90" s="9"/>
      <c r="C90" s="37"/>
      <c r="D90" s="27"/>
      <c r="E90" s="151"/>
      <c r="F90" s="28"/>
      <c r="G90" s="29"/>
      <c r="H90" s="38"/>
      <c r="I90" s="32"/>
    </row>
    <row r="91" spans="1:9" x14ac:dyDescent="0.25">
      <c r="A91" s="1"/>
      <c r="B91" s="9"/>
      <c r="C91" s="33" t="s">
        <v>32</v>
      </c>
      <c r="D91" s="27"/>
      <c r="E91" s="151"/>
      <c r="F91" s="28"/>
      <c r="G91" s="29"/>
      <c r="H91" s="38"/>
      <c r="I91" s="32"/>
    </row>
    <row r="92" spans="1:9" x14ac:dyDescent="0.25">
      <c r="A92" s="1"/>
      <c r="B92" s="9"/>
      <c r="C92" s="37"/>
      <c r="D92" s="27"/>
      <c r="E92" s="151"/>
      <c r="F92" s="28"/>
      <c r="G92" s="29"/>
      <c r="H92" s="38"/>
      <c r="I92" s="32"/>
    </row>
    <row r="93" spans="1:9" ht="30" x14ac:dyDescent="0.25">
      <c r="A93" s="1"/>
      <c r="B93" s="9"/>
      <c r="C93" s="45" t="s">
        <v>49</v>
      </c>
      <c r="D93" s="27"/>
      <c r="E93" s="151"/>
      <c r="F93" s="28"/>
      <c r="G93" s="29"/>
      <c r="H93" s="38"/>
      <c r="I93" s="32"/>
    </row>
    <row r="94" spans="1:9" x14ac:dyDescent="0.25">
      <c r="A94" s="1"/>
      <c r="B94" s="9"/>
      <c r="C94" s="45"/>
      <c r="D94" s="27"/>
      <c r="E94" s="151"/>
      <c r="F94" s="28"/>
      <c r="G94" s="29"/>
      <c r="H94" s="38"/>
      <c r="I94" s="32"/>
    </row>
    <row r="95" spans="1:9" x14ac:dyDescent="0.25">
      <c r="A95" s="1"/>
      <c r="B95" s="9"/>
      <c r="C95" s="37" t="s">
        <v>355</v>
      </c>
      <c r="D95" s="27"/>
      <c r="E95" s="151">
        <f>ROUND(25.4*3.4,0)</f>
        <v>86</v>
      </c>
      <c r="F95" s="28"/>
      <c r="G95" s="155" t="s">
        <v>21</v>
      </c>
      <c r="H95" s="38"/>
      <c r="I95" s="32"/>
    </row>
    <row r="96" spans="1:9" x14ac:dyDescent="0.25">
      <c r="A96" s="1"/>
      <c r="B96" s="9"/>
      <c r="C96" s="37"/>
      <c r="D96" s="27"/>
      <c r="E96" s="151"/>
      <c r="F96" s="28"/>
      <c r="G96" s="155"/>
      <c r="H96" s="38"/>
      <c r="I96" s="32"/>
    </row>
    <row r="97" spans="1:9" x14ac:dyDescent="0.25">
      <c r="A97" s="1"/>
      <c r="B97" s="9"/>
      <c r="C97" s="37" t="s">
        <v>222</v>
      </c>
      <c r="D97" s="27"/>
      <c r="E97" s="151">
        <f>ROUND(7.5*1.35+35.48*1.15+38.87*0.2+1*0.3+41.18*0.3+20.09*0.5+1.32*0.5+7.1*0.8+0.55*0.7+2.35*0.55,0)</f>
        <v>89</v>
      </c>
      <c r="F97" s="28"/>
      <c r="G97" s="29" t="s">
        <v>21</v>
      </c>
      <c r="H97" s="38"/>
      <c r="I97" s="32"/>
    </row>
    <row r="98" spans="1:9" x14ac:dyDescent="0.25">
      <c r="A98" s="1"/>
      <c r="B98" s="9"/>
      <c r="C98" s="37"/>
      <c r="D98" s="27"/>
      <c r="E98" s="30"/>
      <c r="F98" s="28"/>
      <c r="G98" s="29"/>
      <c r="H98" s="38"/>
      <c r="I98" s="32"/>
    </row>
    <row r="99" spans="1:9" x14ac:dyDescent="0.25">
      <c r="A99" s="1"/>
      <c r="B99" s="9"/>
      <c r="C99" s="37" t="s">
        <v>223</v>
      </c>
      <c r="D99" s="27"/>
      <c r="E99" s="151">
        <f>ROUND(7.5*0.8+35.48*0.8+38.87*0.4+1*1.05+41.18*0.8+20.09*0.8+1.32*1+7.1*0.8+0.55*0.7+2.35*0.9,0)</f>
        <v>109</v>
      </c>
      <c r="F99" s="28"/>
      <c r="G99" s="29" t="s">
        <v>21</v>
      </c>
      <c r="H99" s="38"/>
      <c r="I99" s="32"/>
    </row>
    <row r="100" spans="1:9" x14ac:dyDescent="0.25">
      <c r="A100" s="1"/>
      <c r="B100" s="9"/>
      <c r="C100" s="37"/>
      <c r="D100" s="27"/>
      <c r="E100" s="151"/>
      <c r="F100" s="28"/>
      <c r="G100" s="29"/>
      <c r="H100" s="38"/>
      <c r="I100" s="32"/>
    </row>
    <row r="101" spans="1:9" x14ac:dyDescent="0.25">
      <c r="A101" s="1"/>
      <c r="B101" s="9"/>
      <c r="C101" s="37" t="s">
        <v>22</v>
      </c>
      <c r="D101" s="27"/>
      <c r="E101" s="30">
        <f>+ROUND(45.91+105.9,0)</f>
        <v>152</v>
      </c>
      <c r="F101" s="28"/>
      <c r="G101" s="29" t="s">
        <v>21</v>
      </c>
      <c r="H101" s="38"/>
      <c r="I101" s="32"/>
    </row>
    <row r="102" spans="1:9" x14ac:dyDescent="0.25">
      <c r="A102" s="1"/>
      <c r="B102" s="9"/>
      <c r="C102" s="37"/>
      <c r="D102" s="27"/>
      <c r="E102" s="151"/>
      <c r="F102" s="28"/>
      <c r="G102" s="29"/>
      <c r="H102" s="38"/>
      <c r="I102" s="32"/>
    </row>
    <row r="103" spans="1:9" x14ac:dyDescent="0.25">
      <c r="A103" s="1"/>
      <c r="B103" s="9"/>
      <c r="C103" s="37" t="s">
        <v>203</v>
      </c>
      <c r="D103" s="27"/>
      <c r="E103" s="30">
        <f>+ROUND(38.38*3.4,0)</f>
        <v>130</v>
      </c>
      <c r="F103" s="28"/>
      <c r="G103" s="29" t="s">
        <v>21</v>
      </c>
      <c r="H103" s="38"/>
      <c r="I103" s="32"/>
    </row>
    <row r="104" spans="1:9" x14ac:dyDescent="0.25">
      <c r="A104" s="1"/>
      <c r="B104" s="9"/>
      <c r="C104" s="37"/>
      <c r="D104" s="27"/>
      <c r="E104" s="151"/>
      <c r="F104" s="28"/>
      <c r="G104" s="29"/>
      <c r="H104" s="38"/>
      <c r="I104" s="32"/>
    </row>
    <row r="105" spans="1:9" x14ac:dyDescent="0.25">
      <c r="A105" s="1"/>
      <c r="B105" s="9"/>
      <c r="C105" s="37" t="s">
        <v>204</v>
      </c>
      <c r="D105" s="27"/>
      <c r="E105" s="30">
        <f>+ROUND(5.9*2,0)</f>
        <v>12</v>
      </c>
      <c r="F105" s="28"/>
      <c r="G105" s="29" t="s">
        <v>20</v>
      </c>
      <c r="H105" s="38"/>
      <c r="I105" s="32"/>
    </row>
    <row r="106" spans="1:9" x14ac:dyDescent="0.25">
      <c r="A106" s="1"/>
      <c r="B106" s="9"/>
      <c r="C106" s="37"/>
      <c r="D106" s="27"/>
      <c r="E106" s="151"/>
      <c r="F106" s="28"/>
      <c r="G106" s="29"/>
      <c r="H106" s="38"/>
      <c r="I106" s="32"/>
    </row>
    <row r="107" spans="1:9" x14ac:dyDescent="0.25">
      <c r="A107" s="1"/>
      <c r="B107" s="9"/>
      <c r="C107" s="37" t="s">
        <v>205</v>
      </c>
      <c r="D107" s="27"/>
      <c r="E107" s="30">
        <f>+ROUND(44.93,0)</f>
        <v>45</v>
      </c>
      <c r="F107" s="28"/>
      <c r="G107" s="29" t="s">
        <v>20</v>
      </c>
      <c r="H107" s="38"/>
      <c r="I107" s="32"/>
    </row>
    <row r="108" spans="1:9" x14ac:dyDescent="0.25">
      <c r="A108" s="1"/>
      <c r="B108" s="9"/>
      <c r="C108" s="37"/>
      <c r="D108" s="27"/>
      <c r="E108" s="151"/>
      <c r="F108" s="28"/>
      <c r="G108" s="29"/>
      <c r="H108" s="38"/>
      <c r="I108" s="32"/>
    </row>
    <row r="109" spans="1:9" ht="28.5" x14ac:dyDescent="0.25">
      <c r="A109" s="1"/>
      <c r="B109" s="9"/>
      <c r="C109" s="37" t="s">
        <v>210</v>
      </c>
      <c r="D109" s="27"/>
      <c r="E109" s="30">
        <f>+ROUND(42.2,0)</f>
        <v>42</v>
      </c>
      <c r="F109" s="28"/>
      <c r="G109" s="29" t="s">
        <v>20</v>
      </c>
      <c r="H109" s="38"/>
      <c r="I109" s="32"/>
    </row>
    <row r="110" spans="1:9" x14ac:dyDescent="0.25">
      <c r="A110" s="1"/>
      <c r="B110" s="9"/>
      <c r="C110" s="37"/>
      <c r="D110" s="27"/>
      <c r="E110" s="151"/>
      <c r="F110" s="28"/>
      <c r="G110" s="29"/>
      <c r="H110" s="38"/>
      <c r="I110" s="32"/>
    </row>
    <row r="111" spans="1:9" ht="42.75" x14ac:dyDescent="0.25">
      <c r="A111" s="1"/>
      <c r="B111" s="9"/>
      <c r="C111" s="37" t="s">
        <v>224</v>
      </c>
      <c r="D111" s="27"/>
      <c r="E111" s="151">
        <f>ROUND(79.85*2+(48.52)-(37.6*0.6*2+38.06*0.55*2),0)</f>
        <v>121</v>
      </c>
      <c r="F111" s="28"/>
      <c r="G111" s="155" t="s">
        <v>21</v>
      </c>
      <c r="H111" s="38"/>
      <c r="I111" s="32"/>
    </row>
    <row r="112" spans="1:9" x14ac:dyDescent="0.25">
      <c r="A112" s="1"/>
      <c r="B112" s="9"/>
      <c r="C112" s="37"/>
      <c r="D112" s="27"/>
      <c r="E112" s="151"/>
      <c r="F112" s="28"/>
      <c r="G112" s="29"/>
      <c r="H112" s="38"/>
      <c r="I112" s="32"/>
    </row>
    <row r="113" spans="1:9" x14ac:dyDescent="0.25">
      <c r="A113" s="1"/>
      <c r="B113" s="9"/>
      <c r="C113" s="37" t="s">
        <v>212</v>
      </c>
      <c r="D113" s="27"/>
      <c r="E113" s="151">
        <f>ROUND(27.6*3.2,0)</f>
        <v>88</v>
      </c>
      <c r="F113" s="28"/>
      <c r="G113" s="155" t="s">
        <v>21</v>
      </c>
      <c r="H113" s="38"/>
      <c r="I113" s="32"/>
    </row>
    <row r="114" spans="1:9" x14ac:dyDescent="0.25">
      <c r="A114" s="1"/>
      <c r="B114" s="9"/>
      <c r="C114" s="37"/>
      <c r="D114" s="27"/>
      <c r="E114" s="151"/>
      <c r="F114" s="28"/>
      <c r="G114" s="29"/>
      <c r="H114" s="38"/>
      <c r="I114" s="32"/>
    </row>
    <row r="115" spans="1:9" ht="28.5" x14ac:dyDescent="0.25">
      <c r="A115" s="1"/>
      <c r="B115" s="9"/>
      <c r="C115" s="37" t="s">
        <v>225</v>
      </c>
      <c r="D115" s="27"/>
      <c r="E115" s="151">
        <f>ROUND(1.6*0.9+24.64*0.5+1.78*0.5+7.5*0.3+5*0.3+23.68*0.3+2*5+7.5*0.2+4.68*0.2+1.28*0.2+11.82*0.2+34.01*1.35+15*1.15+7.18*0.1,0)</f>
        <v>104</v>
      </c>
      <c r="F115" s="28"/>
      <c r="G115" s="155" t="s">
        <v>21</v>
      </c>
      <c r="H115" s="38"/>
      <c r="I115" s="32"/>
    </row>
    <row r="116" spans="1:9" x14ac:dyDescent="0.25">
      <c r="A116" s="1"/>
      <c r="B116" s="9"/>
      <c r="C116" s="37"/>
      <c r="D116" s="27"/>
      <c r="E116" s="151"/>
      <c r="F116" s="28"/>
      <c r="G116" s="155"/>
      <c r="H116" s="38"/>
      <c r="I116" s="32"/>
    </row>
    <row r="117" spans="1:9" ht="28.5" x14ac:dyDescent="0.25">
      <c r="A117" s="1"/>
      <c r="B117" s="9"/>
      <c r="C117" s="37" t="s">
        <v>226</v>
      </c>
      <c r="D117" s="27"/>
      <c r="E117" s="151">
        <f>ROUND(7.18*0.9+15*1.9+34.01*0.4*2+11.82*0.39+1.28*1.25+4.68*1.95+7.5*2.46+2*0.6+23.68*0.4*2+5*1.98+7.5*2.46+1.78*2+24.64*0.8,0)</f>
        <v>168</v>
      </c>
      <c r="F117" s="28"/>
      <c r="G117" s="155" t="s">
        <v>21</v>
      </c>
      <c r="H117" s="38"/>
      <c r="I117" s="32"/>
    </row>
    <row r="118" spans="1:9" x14ac:dyDescent="0.25">
      <c r="A118" s="1"/>
      <c r="B118" s="9"/>
      <c r="C118" s="37"/>
      <c r="D118" s="27"/>
      <c r="E118" s="151"/>
      <c r="F118" s="28"/>
      <c r="G118" s="155"/>
      <c r="H118" s="38"/>
      <c r="I118" s="32"/>
    </row>
    <row r="119" spans="1:9" x14ac:dyDescent="0.25">
      <c r="A119" s="1"/>
      <c r="B119" s="9"/>
      <c r="C119" s="37" t="s">
        <v>213</v>
      </c>
      <c r="D119" s="27"/>
      <c r="E119" s="151">
        <f>ROUND(162.07+27.79,0)</f>
        <v>190</v>
      </c>
      <c r="F119" s="28"/>
      <c r="G119" s="155" t="s">
        <v>21</v>
      </c>
      <c r="H119" s="38"/>
      <c r="I119" s="32"/>
    </row>
    <row r="120" spans="1:9" x14ac:dyDescent="0.25">
      <c r="A120" s="1"/>
      <c r="B120" s="9"/>
      <c r="C120" s="37"/>
      <c r="D120" s="27"/>
      <c r="E120" s="151"/>
      <c r="F120" s="28"/>
      <c r="G120" s="29"/>
      <c r="H120" s="38"/>
      <c r="I120" s="32"/>
    </row>
    <row r="121" spans="1:9" x14ac:dyDescent="0.25">
      <c r="A121" s="1"/>
      <c r="B121" s="9"/>
      <c r="C121" s="37" t="s">
        <v>218</v>
      </c>
      <c r="D121" s="27"/>
      <c r="E121" s="151">
        <f>ROUND(19.46,0)</f>
        <v>19</v>
      </c>
      <c r="F121" s="28"/>
      <c r="G121" s="155" t="s">
        <v>21</v>
      </c>
      <c r="H121" s="38"/>
      <c r="I121" s="32"/>
    </row>
    <row r="122" spans="1:9" x14ac:dyDescent="0.25">
      <c r="A122" s="1"/>
      <c r="B122" s="9"/>
      <c r="C122" s="37"/>
      <c r="D122" s="27"/>
      <c r="E122" s="151"/>
      <c r="F122" s="28"/>
      <c r="G122" s="29"/>
      <c r="H122" s="38"/>
      <c r="I122" s="32"/>
    </row>
    <row r="123" spans="1:9" ht="28.5" x14ac:dyDescent="0.25">
      <c r="A123" s="1"/>
      <c r="B123" s="9"/>
      <c r="C123" s="37" t="s">
        <v>214</v>
      </c>
      <c r="D123" s="27"/>
      <c r="E123" s="151">
        <f>ROUND(45.44*3.4-8.14*3.4,0)</f>
        <v>127</v>
      </c>
      <c r="F123" s="28"/>
      <c r="G123" s="155" t="s">
        <v>21</v>
      </c>
      <c r="H123" s="38"/>
      <c r="I123" s="32"/>
    </row>
    <row r="124" spans="1:9" x14ac:dyDescent="0.25">
      <c r="A124" s="1"/>
      <c r="B124" s="9"/>
      <c r="C124" s="37"/>
      <c r="D124" s="27"/>
      <c r="E124" s="151"/>
      <c r="F124" s="28"/>
      <c r="G124" s="29"/>
      <c r="H124" s="38"/>
      <c r="I124" s="32"/>
    </row>
    <row r="125" spans="1:9" x14ac:dyDescent="0.25">
      <c r="A125" s="1"/>
      <c r="B125" s="9"/>
      <c r="C125" s="37" t="s">
        <v>215</v>
      </c>
      <c r="D125" s="27"/>
      <c r="E125" s="151">
        <f>ROUND(20.8*2+5.9*2,0)</f>
        <v>53</v>
      </c>
      <c r="F125" s="28"/>
      <c r="G125" s="155" t="s">
        <v>20</v>
      </c>
      <c r="H125" s="38"/>
      <c r="I125" s="32"/>
    </row>
    <row r="126" spans="1:9" x14ac:dyDescent="0.25">
      <c r="A126" s="1"/>
      <c r="B126" s="9"/>
      <c r="C126" s="37"/>
      <c r="D126" s="27"/>
      <c r="E126" s="151"/>
      <c r="F126" s="28"/>
      <c r="G126" s="29"/>
      <c r="H126" s="38"/>
      <c r="I126" s="32"/>
    </row>
    <row r="127" spans="1:9" ht="28.5" x14ac:dyDescent="0.25">
      <c r="A127" s="1"/>
      <c r="B127" s="9"/>
      <c r="C127" s="37" t="s">
        <v>216</v>
      </c>
      <c r="D127" s="27"/>
      <c r="E127" s="151">
        <f>ROUND(26.83,0)</f>
        <v>27</v>
      </c>
      <c r="F127" s="28"/>
      <c r="G127" s="155" t="s">
        <v>20</v>
      </c>
      <c r="H127" s="38"/>
      <c r="I127" s="32"/>
    </row>
    <row r="128" spans="1:9" x14ac:dyDescent="0.25">
      <c r="A128" s="1"/>
      <c r="B128" s="9"/>
      <c r="C128" s="37"/>
      <c r="D128" s="27"/>
      <c r="E128" s="151"/>
      <c r="F128" s="28"/>
      <c r="G128" s="29"/>
      <c r="H128" s="38"/>
      <c r="I128" s="32"/>
    </row>
    <row r="129" spans="1:9" ht="28.5" x14ac:dyDescent="0.25">
      <c r="A129" s="1"/>
      <c r="B129" s="9"/>
      <c r="C129" s="37" t="s">
        <v>217</v>
      </c>
      <c r="D129" s="27"/>
      <c r="E129" s="151">
        <f>ROUND(5.64,0)</f>
        <v>6</v>
      </c>
      <c r="F129" s="28"/>
      <c r="G129" s="155" t="s">
        <v>20</v>
      </c>
      <c r="H129" s="38"/>
      <c r="I129" s="32"/>
    </row>
    <row r="130" spans="1:9" x14ac:dyDescent="0.25">
      <c r="A130" s="1"/>
      <c r="B130" s="9"/>
      <c r="C130" s="37"/>
      <c r="D130" s="27"/>
      <c r="E130" s="151"/>
      <c r="F130" s="28"/>
      <c r="G130" s="29"/>
      <c r="H130" s="38"/>
      <c r="I130" s="32"/>
    </row>
    <row r="131" spans="1:9" ht="42.75" x14ac:dyDescent="0.25">
      <c r="A131" s="1"/>
      <c r="B131" s="9"/>
      <c r="C131" s="152" t="s">
        <v>227</v>
      </c>
      <c r="D131" s="27"/>
      <c r="E131" s="151">
        <f>ROUND(10.83,0)</f>
        <v>11</v>
      </c>
      <c r="F131" s="28"/>
      <c r="G131" s="155" t="s">
        <v>21</v>
      </c>
      <c r="H131" s="38"/>
      <c r="I131" s="32"/>
    </row>
    <row r="132" spans="1:9" x14ac:dyDescent="0.25">
      <c r="A132" s="1"/>
      <c r="B132" s="9"/>
      <c r="C132" s="37"/>
      <c r="D132" s="27"/>
      <c r="E132" s="151"/>
      <c r="F132" s="28"/>
      <c r="G132" s="29"/>
      <c r="H132" s="38"/>
      <c r="I132" s="32"/>
    </row>
    <row r="133" spans="1:9" x14ac:dyDescent="0.25">
      <c r="A133" s="1"/>
      <c r="B133" s="9"/>
      <c r="C133" s="37" t="s">
        <v>206</v>
      </c>
      <c r="D133" s="27"/>
      <c r="E133" s="151">
        <f>ROUND(3.4*27.6,0)</f>
        <v>94</v>
      </c>
      <c r="F133" s="28"/>
      <c r="G133" s="155" t="s">
        <v>21</v>
      </c>
      <c r="H133" s="38"/>
      <c r="I133" s="32"/>
    </row>
    <row r="134" spans="1:9" x14ac:dyDescent="0.25">
      <c r="A134" s="1"/>
      <c r="B134" s="9"/>
      <c r="C134" s="37"/>
      <c r="D134" s="27"/>
      <c r="E134" s="151"/>
      <c r="F134" s="28"/>
      <c r="G134" s="29"/>
      <c r="H134" s="38"/>
      <c r="I134" s="32"/>
    </row>
    <row r="135" spans="1:9" x14ac:dyDescent="0.25">
      <c r="A135" s="1"/>
      <c r="B135" s="9"/>
      <c r="C135" s="39" t="s">
        <v>229</v>
      </c>
      <c r="D135" s="27"/>
      <c r="E135" s="151">
        <f>ROUND(7.5*1.15+0.57*1.15+17.5*1.15+7.5*1.15+7.5*1.15+1.49*1.35+12.68*0.2+2*0.3+23.68*0.3+9.64*0.3+2.35*0.45+0.45*0.5+5.9*0.5+16.8*0.5+1.35*0.5+7.1*0.6+0.57*0.7+0.38*0.7,0)</f>
        <v>80</v>
      </c>
      <c r="F135" s="28"/>
      <c r="G135" s="155" t="s">
        <v>21</v>
      </c>
      <c r="H135" s="38"/>
      <c r="I135" s="32"/>
    </row>
    <row r="136" spans="1:9" x14ac:dyDescent="0.25">
      <c r="A136" s="1"/>
      <c r="B136" s="9"/>
      <c r="C136" s="37"/>
      <c r="D136" s="27"/>
      <c r="E136" s="151"/>
      <c r="F136" s="28"/>
      <c r="G136" s="155"/>
      <c r="H136" s="38"/>
      <c r="I136" s="32"/>
    </row>
    <row r="137" spans="1:9" x14ac:dyDescent="0.25">
      <c r="A137" s="1"/>
      <c r="B137" s="9"/>
      <c r="C137" s="37" t="s">
        <v>228</v>
      </c>
      <c r="D137" s="27"/>
      <c r="E137" s="151">
        <f>ROUND(7.5*0.65*2+0.57*0.25*2+17.5*0.4+7.5*0.65+7.5*0.4*2+1.49*0.65*2+12.68*1+2*0.6+23.68*0.4*2+6.64*1.9+2.35*1.3*2+0.45*0.42*2+5.9*0.4+16.8*0.4*2+1.35*1.95*2+7.1*0.4+0.57*1.3*2+0.35*0.9*2,0)</f>
        <v>108</v>
      </c>
      <c r="F137" s="28"/>
      <c r="G137" s="155" t="s">
        <v>21</v>
      </c>
      <c r="H137" s="38"/>
      <c r="I137" s="32"/>
    </row>
    <row r="138" spans="1:9" x14ac:dyDescent="0.25">
      <c r="A138" s="1"/>
      <c r="B138" s="9"/>
      <c r="C138" s="37"/>
      <c r="D138" s="27"/>
      <c r="E138" s="151"/>
      <c r="F138" s="28"/>
      <c r="G138" s="29"/>
      <c r="H138" s="38"/>
      <c r="I138" s="32"/>
    </row>
    <row r="139" spans="1:9" x14ac:dyDescent="0.25">
      <c r="A139" s="1"/>
      <c r="B139" s="9"/>
      <c r="C139" s="37" t="s">
        <v>50</v>
      </c>
      <c r="D139" s="27"/>
      <c r="E139" s="151">
        <f>ROUND(99.14,0)</f>
        <v>99</v>
      </c>
      <c r="F139" s="28"/>
      <c r="G139" s="155" t="s">
        <v>21</v>
      </c>
      <c r="H139" s="38"/>
      <c r="I139" s="32"/>
    </row>
    <row r="140" spans="1:9" x14ac:dyDescent="0.25">
      <c r="A140" s="1"/>
      <c r="B140" s="9"/>
      <c r="C140" s="37"/>
      <c r="D140" s="27"/>
      <c r="E140" s="151"/>
      <c r="F140" s="28"/>
      <c r="G140" s="155"/>
      <c r="H140" s="38"/>
      <c r="I140" s="32"/>
    </row>
    <row r="141" spans="1:9" x14ac:dyDescent="0.25">
      <c r="A141" s="1"/>
      <c r="B141" s="9"/>
      <c r="C141" s="37" t="s">
        <v>230</v>
      </c>
      <c r="D141" s="27"/>
      <c r="E141" s="151">
        <f>ROUND(10.17*2,0)</f>
        <v>20</v>
      </c>
      <c r="F141" s="28"/>
      <c r="G141" s="155" t="s">
        <v>21</v>
      </c>
      <c r="H141" s="38"/>
      <c r="I141" s="32"/>
    </row>
    <row r="142" spans="1:9" x14ac:dyDescent="0.25">
      <c r="A142" s="1"/>
      <c r="B142" s="9"/>
      <c r="C142" s="37"/>
      <c r="D142" s="27"/>
      <c r="E142" s="151"/>
      <c r="F142" s="28"/>
      <c r="G142" s="155"/>
      <c r="H142" s="38"/>
      <c r="I142" s="32"/>
    </row>
    <row r="143" spans="1:9" ht="28.5" x14ac:dyDescent="0.25">
      <c r="A143" s="1"/>
      <c r="B143" s="9"/>
      <c r="C143" s="37" t="s">
        <v>207</v>
      </c>
      <c r="D143" s="27"/>
      <c r="E143" s="151">
        <f>ROUND(3.1*45.44-7.78*3.1,0)</f>
        <v>117</v>
      </c>
      <c r="F143" s="28"/>
      <c r="G143" s="155" t="s">
        <v>21</v>
      </c>
      <c r="H143" s="38"/>
      <c r="I143" s="32"/>
    </row>
    <row r="144" spans="1:9" x14ac:dyDescent="0.25">
      <c r="A144" s="1"/>
      <c r="B144" s="9"/>
      <c r="C144" s="37"/>
      <c r="D144" s="27"/>
      <c r="E144" s="151"/>
      <c r="F144" s="28"/>
      <c r="G144" s="29"/>
      <c r="H144" s="38"/>
      <c r="I144" s="32"/>
    </row>
    <row r="145" spans="1:9" x14ac:dyDescent="0.25">
      <c r="A145" s="1"/>
      <c r="B145" s="9"/>
      <c r="C145" s="37" t="s">
        <v>208</v>
      </c>
      <c r="D145" s="27"/>
      <c r="E145" s="151">
        <f>ROUND(6.68*2+5.9*2,0)</f>
        <v>25</v>
      </c>
      <c r="F145" s="28"/>
      <c r="G145" s="155" t="s">
        <v>20</v>
      </c>
      <c r="H145" s="38"/>
      <c r="I145" s="32"/>
    </row>
    <row r="146" spans="1:9" x14ac:dyDescent="0.25">
      <c r="A146" s="1"/>
      <c r="B146" s="9"/>
      <c r="C146" s="37"/>
      <c r="D146" s="27"/>
      <c r="E146" s="151"/>
      <c r="F146" s="28"/>
      <c r="G146" s="29"/>
      <c r="H146" s="38"/>
      <c r="I146" s="32"/>
    </row>
    <row r="147" spans="1:9" x14ac:dyDescent="0.25">
      <c r="A147" s="1"/>
      <c r="B147" s="9"/>
      <c r="C147" s="39" t="s">
        <v>209</v>
      </c>
      <c r="D147" s="27"/>
      <c r="E147" s="151">
        <f>ROUND(52.09,0)</f>
        <v>52</v>
      </c>
      <c r="F147" s="28"/>
      <c r="G147" s="155" t="s">
        <v>20</v>
      </c>
      <c r="H147" s="38"/>
      <c r="I147" s="32"/>
    </row>
    <row r="148" spans="1:9" x14ac:dyDescent="0.25">
      <c r="A148" s="1"/>
      <c r="B148" s="9"/>
      <c r="C148" s="37"/>
      <c r="D148" s="27"/>
      <c r="E148" s="151"/>
      <c r="F148" s="28"/>
      <c r="G148" s="29"/>
      <c r="H148" s="38"/>
      <c r="I148" s="32"/>
    </row>
    <row r="149" spans="1:9" ht="28.5" x14ac:dyDescent="0.25">
      <c r="A149" s="1"/>
      <c r="B149" s="9"/>
      <c r="C149" s="37" t="s">
        <v>211</v>
      </c>
      <c r="D149" s="27"/>
      <c r="E149" s="151">
        <f>ROUND(11.03,0)</f>
        <v>11</v>
      </c>
      <c r="F149" s="28"/>
      <c r="G149" s="155" t="s">
        <v>20</v>
      </c>
      <c r="H149" s="38"/>
      <c r="I149" s="32"/>
    </row>
    <row r="150" spans="1:9" x14ac:dyDescent="0.25">
      <c r="A150" s="1"/>
      <c r="B150" s="9"/>
      <c r="C150" s="37"/>
      <c r="D150" s="27"/>
      <c r="E150" s="151"/>
      <c r="F150" s="28"/>
      <c r="G150" s="29"/>
      <c r="H150" s="38"/>
      <c r="I150" s="32"/>
    </row>
    <row r="151" spans="1:9" ht="42.75" x14ac:dyDescent="0.25">
      <c r="A151" s="1"/>
      <c r="B151" s="9"/>
      <c r="C151" s="152" t="s">
        <v>234</v>
      </c>
      <c r="D151" s="27"/>
      <c r="E151" s="151">
        <f>ROUND(10.83,0)</f>
        <v>11</v>
      </c>
      <c r="F151" s="28"/>
      <c r="G151" s="155" t="s">
        <v>21</v>
      </c>
      <c r="H151" s="38"/>
      <c r="I151" s="32"/>
    </row>
    <row r="152" spans="1:9" x14ac:dyDescent="0.25">
      <c r="A152" s="1"/>
      <c r="B152" s="9"/>
      <c r="C152" s="37"/>
      <c r="D152" s="27"/>
      <c r="E152" s="151"/>
      <c r="F152" s="28"/>
      <c r="G152" s="29"/>
      <c r="H152" s="38"/>
      <c r="I152" s="32"/>
    </row>
    <row r="153" spans="1:9" x14ac:dyDescent="0.25">
      <c r="A153" s="1"/>
      <c r="B153" s="9"/>
      <c r="C153" s="37" t="s">
        <v>235</v>
      </c>
      <c r="D153" s="27"/>
      <c r="E153" s="151">
        <f>ROUND(4.2*27.6,0)</f>
        <v>116</v>
      </c>
      <c r="F153" s="28"/>
      <c r="G153" s="155" t="s">
        <v>21</v>
      </c>
      <c r="H153" s="38"/>
      <c r="I153" s="32"/>
    </row>
    <row r="154" spans="1:9" x14ac:dyDescent="0.25">
      <c r="A154" s="1"/>
      <c r="B154" s="9"/>
      <c r="C154" s="37"/>
      <c r="D154" s="27"/>
      <c r="E154" s="151"/>
      <c r="F154" s="28"/>
      <c r="G154" s="29"/>
      <c r="H154" s="38"/>
      <c r="I154" s="32"/>
    </row>
    <row r="155" spans="1:9" x14ac:dyDescent="0.25">
      <c r="A155" s="1"/>
      <c r="B155" s="9"/>
      <c r="C155" s="39" t="s">
        <v>236</v>
      </c>
      <c r="D155" s="27"/>
      <c r="E155" s="151">
        <f>ROUND(8.2*0.2+7.1*1.05+4.88*1.05+7.5*1.15+10.68*1.35+7.5*1.6+7.5*1.6+10*1.6+3.18*1.6+8.06*0.3+3.91*0.3+23.68*0.3+14.94*0.45+8.04*0.45*14.68*0.45+7.1*0.45+2*0.5*1.12*0.5+6.88*0.5+0.9*0.5+8.31*0.5+5.86*0.5+10.9*0.5+7*0.7,0)</f>
        <v>149</v>
      </c>
      <c r="F155" s="28"/>
      <c r="G155" s="155" t="s">
        <v>21</v>
      </c>
      <c r="H155" s="38"/>
      <c r="I155" s="32"/>
    </row>
    <row r="156" spans="1:9" x14ac:dyDescent="0.25">
      <c r="A156" s="1"/>
      <c r="B156" s="9"/>
      <c r="C156" s="37"/>
      <c r="D156" s="27"/>
      <c r="E156" s="151"/>
      <c r="F156" s="28"/>
      <c r="G156" s="155"/>
      <c r="H156" s="38"/>
      <c r="I156" s="32"/>
    </row>
    <row r="157" spans="1:9" x14ac:dyDescent="0.25">
      <c r="A157" s="1"/>
      <c r="B157" s="9"/>
      <c r="C157" s="37" t="s">
        <v>237</v>
      </c>
      <c r="D157" s="27"/>
      <c r="E157" s="151">
        <f>ROUND(8.2*1.15*2+7.1*1.055+4.88*0.4+7.5*0.4*2+10.68*0.4*2+7.5*1.475+7.5*1.77+10*0.4+3.18*0.25+8.06*1.55+3.91*0.26+23.68*0.4*2+14.94*0.905+7*0.905+8.04*1.77+14.68*0.405+7.5*2*0.405+7.1*1.01+2*1.15+1.12*0.8+6.88*1.37+0.9*2.15+8.31*0.35*2+8.56*0.4*2+10.9*0.4*2+7*0.65*2,0)</f>
        <v>203</v>
      </c>
      <c r="F157" s="28"/>
      <c r="G157" s="155" t="s">
        <v>21</v>
      </c>
      <c r="H157" s="38"/>
      <c r="I157" s="32"/>
    </row>
    <row r="158" spans="1:9" x14ac:dyDescent="0.25">
      <c r="A158" s="1"/>
      <c r="B158" s="9"/>
      <c r="C158" s="37"/>
      <c r="D158" s="27"/>
      <c r="E158" s="151"/>
      <c r="F158" s="28"/>
      <c r="G158" s="29"/>
      <c r="H158" s="38"/>
      <c r="I158" s="32"/>
    </row>
    <row r="159" spans="1:9" x14ac:dyDescent="0.25">
      <c r="A159" s="1"/>
      <c r="B159" s="9"/>
      <c r="C159" s="37" t="s">
        <v>243</v>
      </c>
      <c r="D159" s="27"/>
      <c r="E159" s="151">
        <f>ROUND(254.59,0)</f>
        <v>255</v>
      </c>
      <c r="F159" s="28"/>
      <c r="G159" s="155" t="s">
        <v>21</v>
      </c>
      <c r="H159" s="38"/>
      <c r="I159" s="32"/>
    </row>
    <row r="160" spans="1:9" x14ac:dyDescent="0.25">
      <c r="A160" s="1"/>
      <c r="B160" s="9"/>
      <c r="C160" s="37"/>
      <c r="D160" s="27"/>
      <c r="E160" s="151"/>
      <c r="F160" s="28"/>
      <c r="G160" s="155"/>
      <c r="H160" s="38"/>
      <c r="I160" s="32"/>
    </row>
    <row r="161" spans="1:9" x14ac:dyDescent="0.25">
      <c r="A161" s="1"/>
      <c r="B161" s="9"/>
      <c r="C161" s="37" t="s">
        <v>238</v>
      </c>
      <c r="D161" s="27"/>
      <c r="E161" s="151">
        <f>ROUND(104.43,0)+1</f>
        <v>105</v>
      </c>
      <c r="F161" s="28"/>
      <c r="G161" s="155" t="s">
        <v>21</v>
      </c>
      <c r="H161" s="38"/>
      <c r="I161" s="32"/>
    </row>
    <row r="162" spans="1:9" x14ac:dyDescent="0.25">
      <c r="A162" s="1"/>
      <c r="B162" s="9"/>
      <c r="C162" s="37"/>
      <c r="D162" s="27"/>
      <c r="E162" s="151"/>
      <c r="F162" s="28"/>
      <c r="G162" s="155"/>
      <c r="H162" s="38"/>
      <c r="I162" s="32"/>
    </row>
    <row r="163" spans="1:9" ht="28.5" x14ac:dyDescent="0.25">
      <c r="A163" s="1"/>
      <c r="B163" s="9"/>
      <c r="C163" s="37" t="s">
        <v>239</v>
      </c>
      <c r="D163" s="27"/>
      <c r="E163" s="151">
        <f>ROUND(45.44*4.2-7.61*4.2,0)+1</f>
        <v>160</v>
      </c>
      <c r="F163" s="28"/>
      <c r="G163" s="155" t="s">
        <v>21</v>
      </c>
      <c r="H163" s="38"/>
      <c r="I163" s="32"/>
    </row>
    <row r="164" spans="1:9" x14ac:dyDescent="0.25">
      <c r="A164" s="1"/>
      <c r="B164" s="9"/>
      <c r="C164" s="37"/>
      <c r="D164" s="27"/>
      <c r="E164" s="151"/>
      <c r="F164" s="28"/>
      <c r="G164" s="29"/>
      <c r="H164" s="38"/>
      <c r="I164" s="32"/>
    </row>
    <row r="165" spans="1:9" x14ac:dyDescent="0.25">
      <c r="A165" s="1"/>
      <c r="B165" s="9"/>
      <c r="C165" s="37" t="s">
        <v>240</v>
      </c>
      <c r="D165" s="27"/>
      <c r="E165" s="151">
        <f>ROUND(91.89*2,0)</f>
        <v>184</v>
      </c>
      <c r="F165" s="28"/>
      <c r="G165" s="155" t="s">
        <v>20</v>
      </c>
      <c r="H165" s="38"/>
      <c r="I165" s="32"/>
    </row>
    <row r="166" spans="1:9" x14ac:dyDescent="0.25">
      <c r="A166" s="1"/>
      <c r="B166" s="9"/>
      <c r="C166" s="37"/>
      <c r="D166" s="27"/>
      <c r="E166" s="151"/>
      <c r="F166" s="28"/>
      <c r="G166" s="29"/>
      <c r="H166" s="38"/>
      <c r="I166" s="32"/>
    </row>
    <row r="167" spans="1:9" x14ac:dyDescent="0.25">
      <c r="A167" s="1"/>
      <c r="B167" s="9"/>
      <c r="C167" s="39" t="s">
        <v>241</v>
      </c>
      <c r="D167" s="27"/>
      <c r="E167" s="151">
        <f>ROUND(87.76,0)</f>
        <v>88</v>
      </c>
      <c r="F167" s="28"/>
      <c r="G167" s="155" t="s">
        <v>20</v>
      </c>
      <c r="H167" s="38"/>
      <c r="I167" s="32"/>
    </row>
    <row r="168" spans="1:9" x14ac:dyDescent="0.25">
      <c r="A168" s="1"/>
      <c r="B168" s="9"/>
      <c r="C168" s="37"/>
      <c r="D168" s="27"/>
      <c r="E168" s="151"/>
      <c r="F168" s="28"/>
      <c r="G168" s="29"/>
      <c r="H168" s="38"/>
      <c r="I168" s="32"/>
    </row>
    <row r="169" spans="1:9" ht="28.5" x14ac:dyDescent="0.25">
      <c r="A169" s="1"/>
      <c r="B169" s="9"/>
      <c r="C169" s="37" t="s">
        <v>242</v>
      </c>
      <c r="D169" s="27"/>
      <c r="E169" s="151">
        <f>ROUND(5.9,0)</f>
        <v>6</v>
      </c>
      <c r="F169" s="28"/>
      <c r="G169" s="155" t="s">
        <v>20</v>
      </c>
      <c r="H169" s="38"/>
      <c r="I169" s="32"/>
    </row>
    <row r="170" spans="1:9" x14ac:dyDescent="0.25">
      <c r="A170" s="1"/>
      <c r="B170" s="9"/>
      <c r="C170" s="37"/>
      <c r="D170" s="27"/>
      <c r="E170" s="151"/>
      <c r="F170" s="28"/>
      <c r="G170" s="29"/>
      <c r="H170" s="38"/>
      <c r="I170" s="32"/>
    </row>
    <row r="171" spans="1:9" ht="42.75" x14ac:dyDescent="0.25">
      <c r="A171" s="1"/>
      <c r="B171" s="9"/>
      <c r="C171" s="152" t="s">
        <v>244</v>
      </c>
      <c r="D171" s="27"/>
      <c r="E171" s="151">
        <f>ROUND(3.8*4.2,0)</f>
        <v>16</v>
      </c>
      <c r="F171" s="28"/>
      <c r="G171" s="155" t="s">
        <v>21</v>
      </c>
      <c r="H171" s="38"/>
      <c r="I171" s="32"/>
    </row>
    <row r="172" spans="1:9" x14ac:dyDescent="0.25">
      <c r="A172" s="1"/>
      <c r="B172" s="9"/>
      <c r="C172" s="37"/>
      <c r="D172" s="27"/>
      <c r="E172" s="151"/>
      <c r="F172" s="28"/>
      <c r="G172" s="29"/>
      <c r="H172" s="38"/>
      <c r="I172" s="32"/>
    </row>
    <row r="173" spans="1:9" x14ac:dyDescent="0.25">
      <c r="A173" s="1"/>
      <c r="B173" s="9"/>
      <c r="C173" s="37" t="s">
        <v>247</v>
      </c>
      <c r="D173" s="27"/>
      <c r="E173" s="151">
        <f>ROUND(27.62*3.8,0)</f>
        <v>105</v>
      </c>
      <c r="F173" s="28"/>
      <c r="G173" s="155" t="s">
        <v>21</v>
      </c>
      <c r="H173" s="38"/>
      <c r="I173" s="32"/>
    </row>
    <row r="174" spans="1:9" x14ac:dyDescent="0.25">
      <c r="A174" s="1"/>
      <c r="B174" s="9"/>
      <c r="C174" s="37"/>
      <c r="D174" s="27"/>
      <c r="E174" s="151"/>
      <c r="F174" s="28"/>
      <c r="G174" s="29"/>
      <c r="H174" s="38"/>
      <c r="I174" s="32"/>
    </row>
    <row r="175" spans="1:9" x14ac:dyDescent="0.25">
      <c r="A175" s="1"/>
      <c r="B175" s="9"/>
      <c r="C175" s="37" t="s">
        <v>251</v>
      </c>
      <c r="D175" s="27"/>
      <c r="E175" s="151">
        <f>ROUND(18.43*1.15+37.85*0.2+9.91*0.3+30.68*0.3+1*0.5+23.23*0.5+35.53*0.6+0.15*0.7+13.75*0.7,0)</f>
        <v>84</v>
      </c>
      <c r="F175" s="28"/>
      <c r="G175" s="155" t="s">
        <v>21</v>
      </c>
      <c r="H175" s="38"/>
      <c r="I175" s="32"/>
    </row>
    <row r="176" spans="1:9" x14ac:dyDescent="0.25">
      <c r="A176" s="1"/>
      <c r="B176" s="9"/>
      <c r="C176" s="37"/>
      <c r="D176" s="27"/>
      <c r="E176" s="151"/>
      <c r="F176" s="28"/>
      <c r="G176" s="29"/>
      <c r="H176" s="38"/>
      <c r="I176" s="32"/>
    </row>
    <row r="177" spans="1:9" x14ac:dyDescent="0.25">
      <c r="A177" s="1"/>
      <c r="B177" s="9"/>
      <c r="C177" s="37" t="s">
        <v>252</v>
      </c>
      <c r="D177" s="27"/>
      <c r="E177" s="151">
        <f>ROUND(18.43*1.9+37.85*0.5+9.91*0.5+30.68*0.8+1*0.5+23.23*0.8+35.53*0.8+0.15*0.5+13.75*0.8,0)</f>
        <v>142</v>
      </c>
      <c r="F177" s="28"/>
      <c r="G177" s="155" t="s">
        <v>21</v>
      </c>
      <c r="H177" s="38"/>
      <c r="I177" s="32"/>
    </row>
    <row r="178" spans="1:9" x14ac:dyDescent="0.25">
      <c r="A178" s="1"/>
      <c r="B178" s="9"/>
      <c r="C178" s="37"/>
      <c r="D178" s="27"/>
      <c r="E178" s="151"/>
      <c r="F178" s="28"/>
      <c r="G178" s="29"/>
      <c r="H178" s="38"/>
      <c r="I178" s="32"/>
    </row>
    <row r="179" spans="1:9" x14ac:dyDescent="0.25">
      <c r="A179" s="1"/>
      <c r="B179" s="9"/>
      <c r="C179" s="37" t="s">
        <v>248</v>
      </c>
      <c r="D179" s="27"/>
      <c r="E179" s="151">
        <f>ROUND(37.29*2,0)</f>
        <v>75</v>
      </c>
      <c r="F179" s="28"/>
      <c r="G179" s="155" t="s">
        <v>20</v>
      </c>
      <c r="H179" s="38"/>
      <c r="I179" s="32"/>
    </row>
    <row r="180" spans="1:9" x14ac:dyDescent="0.25">
      <c r="A180" s="1"/>
      <c r="B180" s="9"/>
      <c r="C180" s="37"/>
      <c r="D180" s="27"/>
      <c r="E180" s="151"/>
      <c r="F180" s="28"/>
      <c r="G180" s="29"/>
      <c r="H180" s="38"/>
      <c r="I180" s="32"/>
    </row>
    <row r="181" spans="1:9" x14ac:dyDescent="0.25">
      <c r="A181" s="1"/>
      <c r="B181" s="9"/>
      <c r="C181" s="37" t="s">
        <v>249</v>
      </c>
      <c r="D181" s="27"/>
      <c r="E181" s="151">
        <f>ROUND(299.57,0)</f>
        <v>300</v>
      </c>
      <c r="F181" s="28"/>
      <c r="G181" s="155" t="s">
        <v>21</v>
      </c>
      <c r="H181" s="38"/>
      <c r="I181" s="32"/>
    </row>
    <row r="182" spans="1:9" x14ac:dyDescent="0.25">
      <c r="A182" s="1"/>
      <c r="B182" s="9"/>
      <c r="C182" s="37"/>
      <c r="D182" s="27"/>
      <c r="E182" s="151"/>
      <c r="F182" s="28"/>
      <c r="G182" s="29"/>
      <c r="H182" s="38"/>
      <c r="I182" s="32"/>
    </row>
    <row r="183" spans="1:9" x14ac:dyDescent="0.25">
      <c r="A183" s="1"/>
      <c r="B183" s="9"/>
      <c r="C183" s="39" t="s">
        <v>250</v>
      </c>
      <c r="D183" s="27"/>
      <c r="E183" s="151">
        <f>ROUND(105.58,0)</f>
        <v>106</v>
      </c>
      <c r="F183" s="28"/>
      <c r="G183" s="155" t="s">
        <v>20</v>
      </c>
      <c r="H183" s="38"/>
      <c r="I183" s="32"/>
    </row>
    <row r="184" spans="1:9" x14ac:dyDescent="0.25">
      <c r="A184" s="1"/>
      <c r="B184" s="9"/>
      <c r="C184" s="37"/>
      <c r="D184" s="27"/>
      <c r="E184" s="151"/>
      <c r="F184" s="28"/>
      <c r="G184" s="29"/>
      <c r="H184" s="38"/>
      <c r="I184" s="32"/>
    </row>
    <row r="185" spans="1:9" ht="28.5" x14ac:dyDescent="0.25">
      <c r="A185" s="1"/>
      <c r="B185" s="9"/>
      <c r="C185" s="37" t="s">
        <v>253</v>
      </c>
      <c r="D185" s="27"/>
      <c r="E185" s="151">
        <f>ROUND(18.83,0)</f>
        <v>19</v>
      </c>
      <c r="F185" s="28"/>
      <c r="G185" s="155" t="s">
        <v>20</v>
      </c>
      <c r="H185" s="38"/>
      <c r="I185" s="32"/>
    </row>
    <row r="186" spans="1:9" x14ac:dyDescent="0.25">
      <c r="A186" s="1"/>
      <c r="B186" s="9"/>
      <c r="C186" s="37"/>
      <c r="D186" s="27"/>
      <c r="E186" s="151"/>
      <c r="F186" s="28"/>
      <c r="G186" s="29"/>
      <c r="H186" s="38"/>
      <c r="I186" s="32"/>
    </row>
    <row r="187" spans="1:9" x14ac:dyDescent="0.25">
      <c r="A187" s="1"/>
      <c r="B187" s="9"/>
      <c r="C187" s="37" t="s">
        <v>254</v>
      </c>
      <c r="D187" s="27"/>
      <c r="E187" s="151">
        <f>ROUND(27.62*3.8,0)</f>
        <v>105</v>
      </c>
      <c r="F187" s="28"/>
      <c r="G187" s="155" t="s">
        <v>21</v>
      </c>
      <c r="H187" s="38"/>
      <c r="I187" s="32"/>
    </row>
    <row r="188" spans="1:9" x14ac:dyDescent="0.25">
      <c r="A188" s="1"/>
      <c r="B188" s="9"/>
      <c r="C188" s="37"/>
      <c r="D188" s="27"/>
      <c r="E188" s="151"/>
      <c r="F188" s="28"/>
      <c r="G188" s="29"/>
      <c r="H188" s="38"/>
      <c r="I188" s="32"/>
    </row>
    <row r="189" spans="1:9" x14ac:dyDescent="0.25">
      <c r="A189" s="1"/>
      <c r="B189" s="9"/>
      <c r="C189" s="37" t="s">
        <v>255</v>
      </c>
      <c r="D189" s="27"/>
      <c r="E189" s="151">
        <f>ROUND(18.43*1.15+37.85*0.2+9.91*0.3+30.68*0.3+1*0.5+23.23*0.5+35.53*0.6+0.15*0.7+13.75*0.7,0)</f>
        <v>84</v>
      </c>
      <c r="F189" s="28"/>
      <c r="G189" s="155" t="s">
        <v>21</v>
      </c>
      <c r="H189" s="38"/>
      <c r="I189" s="32"/>
    </row>
    <row r="190" spans="1:9" x14ac:dyDescent="0.25">
      <c r="A190" s="1"/>
      <c r="B190" s="9"/>
      <c r="C190" s="37"/>
      <c r="D190" s="27"/>
      <c r="E190" s="151"/>
      <c r="F190" s="28"/>
      <c r="G190" s="29"/>
      <c r="H190" s="38"/>
      <c r="I190" s="32"/>
    </row>
    <row r="191" spans="1:9" x14ac:dyDescent="0.25">
      <c r="A191" s="1"/>
      <c r="B191" s="9"/>
      <c r="C191" s="37" t="s">
        <v>256</v>
      </c>
      <c r="D191" s="27"/>
      <c r="E191" s="151">
        <f>ROUND(18.43*1.9+37.85*0.5+9.91*0.5+30.68*0.8+1*0.5+23.23*0.8+35.53*0.8+0.15*0.5+13.75*0.8,0)</f>
        <v>142</v>
      </c>
      <c r="F191" s="28"/>
      <c r="G191" s="155" t="s">
        <v>21</v>
      </c>
      <c r="H191" s="38"/>
      <c r="I191" s="32"/>
    </row>
    <row r="192" spans="1:9" x14ac:dyDescent="0.25">
      <c r="A192" s="1"/>
      <c r="B192" s="9"/>
      <c r="C192" s="37"/>
      <c r="D192" s="27"/>
      <c r="E192" s="151"/>
      <c r="F192" s="28"/>
      <c r="G192" s="29"/>
      <c r="H192" s="38"/>
      <c r="I192" s="32"/>
    </row>
    <row r="193" spans="1:9" x14ac:dyDescent="0.25">
      <c r="A193" s="1"/>
      <c r="B193" s="9"/>
      <c r="C193" s="37" t="s">
        <v>257</v>
      </c>
      <c r="D193" s="27"/>
      <c r="E193" s="151">
        <f>ROUND(37.29*2,0)</f>
        <v>75</v>
      </c>
      <c r="F193" s="28"/>
      <c r="G193" s="155" t="s">
        <v>20</v>
      </c>
      <c r="H193" s="38"/>
      <c r="I193" s="32"/>
    </row>
    <row r="194" spans="1:9" x14ac:dyDescent="0.25">
      <c r="A194" s="1"/>
      <c r="B194" s="9"/>
      <c r="C194" s="37"/>
      <c r="D194" s="27"/>
      <c r="E194" s="151"/>
      <c r="F194" s="28"/>
      <c r="G194" s="29"/>
      <c r="H194" s="38"/>
      <c r="I194" s="32"/>
    </row>
    <row r="195" spans="1:9" x14ac:dyDescent="0.25">
      <c r="A195" s="1"/>
      <c r="B195" s="9"/>
      <c r="C195" s="37" t="s">
        <v>258</v>
      </c>
      <c r="D195" s="27"/>
      <c r="E195" s="151">
        <f>ROUND(299.57,0)</f>
        <v>300</v>
      </c>
      <c r="F195" s="28"/>
      <c r="G195" s="155" t="s">
        <v>21</v>
      </c>
      <c r="H195" s="38"/>
      <c r="I195" s="32"/>
    </row>
    <row r="196" spans="1:9" x14ac:dyDescent="0.25">
      <c r="A196" s="1"/>
      <c r="B196" s="9"/>
      <c r="C196" s="37"/>
      <c r="D196" s="27"/>
      <c r="E196" s="151"/>
      <c r="F196" s="28"/>
      <c r="G196" s="29"/>
      <c r="H196" s="38"/>
      <c r="I196" s="32"/>
    </row>
    <row r="197" spans="1:9" x14ac:dyDescent="0.25">
      <c r="A197" s="1"/>
      <c r="B197" s="9"/>
      <c r="C197" s="39" t="s">
        <v>259</v>
      </c>
      <c r="D197" s="27"/>
      <c r="E197" s="151">
        <f>ROUND(105.58,0)</f>
        <v>106</v>
      </c>
      <c r="F197" s="28"/>
      <c r="G197" s="155" t="s">
        <v>20</v>
      </c>
      <c r="H197" s="38"/>
      <c r="I197" s="32"/>
    </row>
    <row r="198" spans="1:9" x14ac:dyDescent="0.25">
      <c r="A198" s="1"/>
      <c r="B198" s="9"/>
      <c r="C198" s="37"/>
      <c r="D198" s="27"/>
      <c r="E198" s="151"/>
      <c r="F198" s="28"/>
      <c r="G198" s="29"/>
      <c r="H198" s="38"/>
      <c r="I198" s="32"/>
    </row>
    <row r="199" spans="1:9" ht="28.5" x14ac:dyDescent="0.25">
      <c r="A199" s="1"/>
      <c r="B199" s="9"/>
      <c r="C199" s="37" t="s">
        <v>260</v>
      </c>
      <c r="D199" s="27"/>
      <c r="E199" s="151">
        <f>ROUND(18.83,0)</f>
        <v>19</v>
      </c>
      <c r="F199" s="28"/>
      <c r="G199" s="155" t="s">
        <v>20</v>
      </c>
      <c r="H199" s="38"/>
      <c r="I199" s="32"/>
    </row>
    <row r="200" spans="1:9" x14ac:dyDescent="0.25">
      <c r="A200" s="1"/>
      <c r="B200" s="9"/>
      <c r="C200" s="37"/>
      <c r="D200" s="27"/>
      <c r="E200" s="151"/>
      <c r="F200" s="28"/>
      <c r="G200" s="29"/>
      <c r="H200" s="38"/>
      <c r="I200" s="32"/>
    </row>
    <row r="201" spans="1:9" x14ac:dyDescent="0.25">
      <c r="A201" s="1"/>
      <c r="B201" s="9"/>
      <c r="C201" s="37" t="s">
        <v>261</v>
      </c>
      <c r="D201" s="27"/>
      <c r="E201" s="151">
        <f>ROUND(27.62*3.8,0)</f>
        <v>105</v>
      </c>
      <c r="F201" s="28"/>
      <c r="G201" s="155" t="s">
        <v>21</v>
      </c>
      <c r="H201" s="38"/>
      <c r="I201" s="32"/>
    </row>
    <row r="202" spans="1:9" x14ac:dyDescent="0.25">
      <c r="A202" s="1"/>
      <c r="B202" s="9"/>
      <c r="C202" s="37"/>
      <c r="D202" s="27"/>
      <c r="E202" s="151"/>
      <c r="F202" s="28"/>
      <c r="G202" s="29"/>
      <c r="H202" s="38"/>
      <c r="I202" s="32"/>
    </row>
    <row r="203" spans="1:9" x14ac:dyDescent="0.25">
      <c r="A203" s="1"/>
      <c r="B203" s="9"/>
      <c r="C203" s="37" t="s">
        <v>262</v>
      </c>
      <c r="D203" s="27"/>
      <c r="E203" s="151">
        <f>ROUND(18.43*1.15+37.85*0.2+9.91*0.3+30.68*0.3+1*0.5+23.23*0.5+35.53*0.6+0.15*0.7+13.75*0.7,0)</f>
        <v>84</v>
      </c>
      <c r="F203" s="28"/>
      <c r="G203" s="155" t="s">
        <v>21</v>
      </c>
      <c r="H203" s="38"/>
      <c r="I203" s="32"/>
    </row>
    <row r="204" spans="1:9" x14ac:dyDescent="0.25">
      <c r="A204" s="1"/>
      <c r="B204" s="9"/>
      <c r="C204" s="37"/>
      <c r="D204" s="27"/>
      <c r="E204" s="151"/>
      <c r="F204" s="28"/>
      <c r="G204" s="29"/>
      <c r="H204" s="38"/>
      <c r="I204" s="32"/>
    </row>
    <row r="205" spans="1:9" x14ac:dyDescent="0.25">
      <c r="A205" s="1"/>
      <c r="B205" s="9"/>
      <c r="C205" s="37" t="s">
        <v>263</v>
      </c>
      <c r="D205" s="27"/>
      <c r="E205" s="151">
        <f>ROUND(18.43*1.9+37.85*0.5+9.91*0.5+30.68*0.8+1*0.5+23.23*0.8+35.53*0.8+0.15*0.5+13.75*0.8,0)</f>
        <v>142</v>
      </c>
      <c r="F205" s="28"/>
      <c r="G205" s="155" t="s">
        <v>21</v>
      </c>
      <c r="H205" s="38"/>
      <c r="I205" s="32"/>
    </row>
    <row r="206" spans="1:9" x14ac:dyDescent="0.25">
      <c r="A206" s="1"/>
      <c r="B206" s="9"/>
      <c r="C206" s="37"/>
      <c r="D206" s="27"/>
      <c r="E206" s="151"/>
      <c r="F206" s="28"/>
      <c r="G206" s="29"/>
      <c r="H206" s="38"/>
      <c r="I206" s="32"/>
    </row>
    <row r="207" spans="1:9" x14ac:dyDescent="0.25">
      <c r="A207" s="1"/>
      <c r="B207" s="9"/>
      <c r="C207" s="37" t="s">
        <v>264</v>
      </c>
      <c r="D207" s="27"/>
      <c r="E207" s="151">
        <f>ROUND(37.29*2,0)</f>
        <v>75</v>
      </c>
      <c r="F207" s="28"/>
      <c r="G207" s="155" t="s">
        <v>20</v>
      </c>
      <c r="H207" s="38"/>
      <c r="I207" s="32"/>
    </row>
    <row r="208" spans="1:9" x14ac:dyDescent="0.25">
      <c r="A208" s="1"/>
      <c r="B208" s="9"/>
      <c r="C208" s="37"/>
      <c r="D208" s="27"/>
      <c r="E208" s="151"/>
      <c r="F208" s="28"/>
      <c r="G208" s="29"/>
      <c r="H208" s="38"/>
      <c r="I208" s="32"/>
    </row>
    <row r="209" spans="1:9" x14ac:dyDescent="0.25">
      <c r="A209" s="1"/>
      <c r="B209" s="9"/>
      <c r="C209" s="37" t="s">
        <v>265</v>
      </c>
      <c r="D209" s="27"/>
      <c r="E209" s="151">
        <f>ROUND(299.57,0)</f>
        <v>300</v>
      </c>
      <c r="F209" s="28"/>
      <c r="G209" s="155" t="s">
        <v>21</v>
      </c>
      <c r="H209" s="38"/>
      <c r="I209" s="32"/>
    </row>
    <row r="210" spans="1:9" x14ac:dyDescent="0.25">
      <c r="A210" s="1"/>
      <c r="B210" s="9"/>
      <c r="C210" s="37"/>
      <c r="D210" s="27"/>
      <c r="E210" s="151"/>
      <c r="F210" s="28"/>
      <c r="G210" s="29"/>
      <c r="H210" s="38"/>
      <c r="I210" s="32"/>
    </row>
    <row r="211" spans="1:9" x14ac:dyDescent="0.25">
      <c r="A211" s="1"/>
      <c r="B211" s="9"/>
      <c r="C211" s="39" t="s">
        <v>266</v>
      </c>
      <c r="D211" s="27"/>
      <c r="E211" s="151">
        <f>ROUND(105.58,0)</f>
        <v>106</v>
      </c>
      <c r="F211" s="28"/>
      <c r="G211" s="155" t="s">
        <v>20</v>
      </c>
      <c r="H211" s="38"/>
      <c r="I211" s="32"/>
    </row>
    <row r="212" spans="1:9" x14ac:dyDescent="0.25">
      <c r="A212" s="1"/>
      <c r="B212" s="9"/>
      <c r="C212" s="37"/>
      <c r="D212" s="27"/>
      <c r="E212" s="151"/>
      <c r="F212" s="28"/>
      <c r="G212" s="29"/>
      <c r="H212" s="38"/>
      <c r="I212" s="32"/>
    </row>
    <row r="213" spans="1:9" ht="28.5" x14ac:dyDescent="0.25">
      <c r="A213" s="1"/>
      <c r="B213" s="9"/>
      <c r="C213" s="37" t="s">
        <v>267</v>
      </c>
      <c r="D213" s="27"/>
      <c r="E213" s="151">
        <f>ROUND(18.83,0)</f>
        <v>19</v>
      </c>
      <c r="F213" s="28"/>
      <c r="G213" s="155" t="s">
        <v>20</v>
      </c>
      <c r="H213" s="38"/>
      <c r="I213" s="32"/>
    </row>
    <row r="214" spans="1:9" x14ac:dyDescent="0.25">
      <c r="A214" s="1"/>
      <c r="B214" s="9"/>
      <c r="C214" s="37"/>
      <c r="D214" s="27"/>
      <c r="E214" s="151"/>
      <c r="F214" s="28"/>
      <c r="G214" s="29"/>
      <c r="H214" s="38"/>
      <c r="I214" s="32"/>
    </row>
    <row r="215" spans="1:9" x14ac:dyDescent="0.25">
      <c r="A215" s="1"/>
      <c r="B215" s="9"/>
      <c r="C215" s="37" t="s">
        <v>268</v>
      </c>
      <c r="D215" s="27"/>
      <c r="E215" s="151">
        <f>ROUND(27.62*3.8,0)</f>
        <v>105</v>
      </c>
      <c r="F215" s="28"/>
      <c r="G215" s="155" t="s">
        <v>21</v>
      </c>
      <c r="H215" s="38"/>
      <c r="I215" s="32"/>
    </row>
    <row r="216" spans="1:9" x14ac:dyDescent="0.25">
      <c r="A216" s="1"/>
      <c r="B216" s="9"/>
      <c r="C216" s="37"/>
      <c r="D216" s="27"/>
      <c r="E216" s="151"/>
      <c r="F216" s="28"/>
      <c r="G216" s="29"/>
      <c r="H216" s="38"/>
      <c r="I216" s="32"/>
    </row>
    <row r="217" spans="1:9" x14ac:dyDescent="0.25">
      <c r="A217" s="1"/>
      <c r="B217" s="9"/>
      <c r="C217" s="37" t="s">
        <v>269</v>
      </c>
      <c r="D217" s="27"/>
      <c r="E217" s="151">
        <f>ROUND(18.43*1.15+37.85*0.2+9.91*0.3+30.68*0.3+1*0.5+23.23*0.5+35.53*0.6+0.15*0.7+13.75*0.7,0)</f>
        <v>84</v>
      </c>
      <c r="F217" s="28"/>
      <c r="G217" s="155" t="s">
        <v>21</v>
      </c>
      <c r="H217" s="38"/>
      <c r="I217" s="32"/>
    </row>
    <row r="218" spans="1:9" x14ac:dyDescent="0.25">
      <c r="A218" s="1"/>
      <c r="B218" s="9"/>
      <c r="C218" s="37"/>
      <c r="D218" s="27"/>
      <c r="E218" s="151"/>
      <c r="F218" s="28"/>
      <c r="G218" s="29"/>
      <c r="H218" s="38"/>
      <c r="I218" s="32"/>
    </row>
    <row r="219" spans="1:9" x14ac:dyDescent="0.25">
      <c r="A219" s="1"/>
      <c r="B219" s="9"/>
      <c r="C219" s="37" t="s">
        <v>270</v>
      </c>
      <c r="D219" s="27"/>
      <c r="E219" s="151">
        <f>ROUND(18.43*1.9+37.85*0.5+9.91*0.5+30.68*0.8+1*0.5+23.23*0.8+35.53*0.8+0.15*0.5+13.75*0.8,0)</f>
        <v>142</v>
      </c>
      <c r="F219" s="28"/>
      <c r="G219" s="155" t="s">
        <v>21</v>
      </c>
      <c r="H219" s="38"/>
      <c r="I219" s="32"/>
    </row>
    <row r="220" spans="1:9" x14ac:dyDescent="0.25">
      <c r="A220" s="1"/>
      <c r="B220" s="9"/>
      <c r="C220" s="37"/>
      <c r="D220" s="27"/>
      <c r="E220" s="151"/>
      <c r="F220" s="28"/>
      <c r="G220" s="29"/>
      <c r="H220" s="38"/>
      <c r="I220" s="32"/>
    </row>
    <row r="221" spans="1:9" x14ac:dyDescent="0.25">
      <c r="A221" s="1"/>
      <c r="B221" s="9"/>
      <c r="C221" s="37" t="s">
        <v>271</v>
      </c>
      <c r="D221" s="27"/>
      <c r="E221" s="151">
        <f>ROUND(37.29*2,0)</f>
        <v>75</v>
      </c>
      <c r="F221" s="28"/>
      <c r="G221" s="155" t="s">
        <v>20</v>
      </c>
      <c r="H221" s="38"/>
      <c r="I221" s="32"/>
    </row>
    <row r="222" spans="1:9" x14ac:dyDescent="0.25">
      <c r="A222" s="1"/>
      <c r="B222" s="9"/>
      <c r="C222" s="37"/>
      <c r="D222" s="27"/>
      <c r="E222" s="151"/>
      <c r="F222" s="28"/>
      <c r="G222" s="29"/>
      <c r="H222" s="38"/>
      <c r="I222" s="32"/>
    </row>
    <row r="223" spans="1:9" x14ac:dyDescent="0.25">
      <c r="A223" s="1"/>
      <c r="B223" s="9"/>
      <c r="C223" s="37" t="s">
        <v>272</v>
      </c>
      <c r="D223" s="27"/>
      <c r="E223" s="151">
        <f>ROUND(299.57,0)</f>
        <v>300</v>
      </c>
      <c r="F223" s="28"/>
      <c r="G223" s="155" t="s">
        <v>21</v>
      </c>
      <c r="H223" s="38"/>
      <c r="I223" s="32"/>
    </row>
    <row r="224" spans="1:9" x14ac:dyDescent="0.25">
      <c r="A224" s="1"/>
      <c r="B224" s="9"/>
      <c r="C224" s="37"/>
      <c r="D224" s="27"/>
      <c r="E224" s="151"/>
      <c r="F224" s="28"/>
      <c r="G224" s="29"/>
      <c r="H224" s="38"/>
      <c r="I224" s="32"/>
    </row>
    <row r="225" spans="1:9" x14ac:dyDescent="0.25">
      <c r="A225" s="1"/>
      <c r="B225" s="9"/>
      <c r="C225" s="39" t="s">
        <v>273</v>
      </c>
      <c r="D225" s="27"/>
      <c r="E225" s="151">
        <f>ROUND(105.58,0)</f>
        <v>106</v>
      </c>
      <c r="F225" s="28"/>
      <c r="G225" s="155" t="s">
        <v>20</v>
      </c>
      <c r="H225" s="38"/>
      <c r="I225" s="32"/>
    </row>
    <row r="226" spans="1:9" x14ac:dyDescent="0.25">
      <c r="A226" s="1"/>
      <c r="B226" s="9"/>
      <c r="C226" s="37"/>
      <c r="D226" s="27"/>
      <c r="E226" s="151"/>
      <c r="F226" s="28"/>
      <c r="G226" s="29"/>
      <c r="H226" s="38"/>
      <c r="I226" s="32"/>
    </row>
    <row r="227" spans="1:9" ht="28.5" x14ac:dyDescent="0.25">
      <c r="A227" s="1"/>
      <c r="B227" s="9"/>
      <c r="C227" s="37" t="s">
        <v>274</v>
      </c>
      <c r="D227" s="27"/>
      <c r="E227" s="151">
        <f>ROUND(18.83,0)</f>
        <v>19</v>
      </c>
      <c r="F227" s="28"/>
      <c r="G227" s="155" t="s">
        <v>20</v>
      </c>
      <c r="H227" s="38"/>
      <c r="I227" s="32"/>
    </row>
    <row r="228" spans="1:9" x14ac:dyDescent="0.25">
      <c r="A228" s="1"/>
      <c r="B228" s="9"/>
      <c r="C228" s="37"/>
      <c r="D228" s="27"/>
      <c r="E228" s="151"/>
      <c r="F228" s="28"/>
      <c r="G228" s="29"/>
      <c r="H228" s="38"/>
      <c r="I228" s="32"/>
    </row>
    <row r="229" spans="1:9" x14ac:dyDescent="0.25">
      <c r="A229" s="1"/>
      <c r="B229" s="9"/>
      <c r="C229" s="37" t="s">
        <v>275</v>
      </c>
      <c r="D229" s="27"/>
      <c r="E229" s="151">
        <f>ROUND(27.62*3.8,0)</f>
        <v>105</v>
      </c>
      <c r="F229" s="28"/>
      <c r="G229" s="155" t="s">
        <v>21</v>
      </c>
      <c r="H229" s="38"/>
      <c r="I229" s="32"/>
    </row>
    <row r="230" spans="1:9" x14ac:dyDescent="0.25">
      <c r="A230" s="1"/>
      <c r="B230" s="9"/>
      <c r="C230" s="37"/>
      <c r="D230" s="27"/>
      <c r="E230" s="151"/>
      <c r="F230" s="28"/>
      <c r="G230" s="29"/>
      <c r="H230" s="38"/>
      <c r="I230" s="32"/>
    </row>
    <row r="231" spans="1:9" x14ac:dyDescent="0.25">
      <c r="A231" s="1"/>
      <c r="B231" s="9"/>
      <c r="C231" s="37" t="s">
        <v>276</v>
      </c>
      <c r="D231" s="27"/>
      <c r="E231" s="151">
        <f>ROUND(18.43*1.15+37.85*0.2+9.91*0.3+30.68*0.3+1*0.5+23.23*0.5+35.53*0.6+0.15*0.7+13.75*0.7,0)</f>
        <v>84</v>
      </c>
      <c r="F231" s="28"/>
      <c r="G231" s="155" t="s">
        <v>21</v>
      </c>
      <c r="H231" s="38"/>
      <c r="I231" s="32"/>
    </row>
    <row r="232" spans="1:9" x14ac:dyDescent="0.25">
      <c r="A232" s="1"/>
      <c r="B232" s="9"/>
      <c r="C232" s="37"/>
      <c r="D232" s="27"/>
      <c r="E232" s="151"/>
      <c r="F232" s="28"/>
      <c r="G232" s="29"/>
      <c r="H232" s="38"/>
      <c r="I232" s="32"/>
    </row>
    <row r="233" spans="1:9" x14ac:dyDescent="0.25">
      <c r="A233" s="1"/>
      <c r="B233" s="9"/>
      <c r="C233" s="37" t="s">
        <v>277</v>
      </c>
      <c r="D233" s="27"/>
      <c r="E233" s="151">
        <f>ROUND(18.43*1.9+37.85*0.5+9.91*0.5+30.68*0.8+1*0.5+23.23*0.8+35.53*0.8+0.15*0.5+13.75*0.8,0)</f>
        <v>142</v>
      </c>
      <c r="F233" s="28"/>
      <c r="G233" s="155" t="s">
        <v>21</v>
      </c>
      <c r="H233" s="38"/>
      <c r="I233" s="32"/>
    </row>
    <row r="234" spans="1:9" x14ac:dyDescent="0.25">
      <c r="A234" s="1"/>
      <c r="B234" s="9"/>
      <c r="C234" s="37"/>
      <c r="D234" s="27"/>
      <c r="E234" s="151"/>
      <c r="F234" s="28"/>
      <c r="G234" s="29"/>
      <c r="H234" s="38"/>
      <c r="I234" s="32"/>
    </row>
    <row r="235" spans="1:9" x14ac:dyDescent="0.25">
      <c r="A235" s="1"/>
      <c r="B235" s="9"/>
      <c r="C235" s="37" t="s">
        <v>278</v>
      </c>
      <c r="D235" s="27"/>
      <c r="E235" s="151">
        <f>ROUND(37.29*2,0)</f>
        <v>75</v>
      </c>
      <c r="F235" s="28"/>
      <c r="G235" s="155" t="s">
        <v>20</v>
      </c>
      <c r="H235" s="38"/>
      <c r="I235" s="32"/>
    </row>
    <row r="236" spans="1:9" x14ac:dyDescent="0.25">
      <c r="A236" s="1"/>
      <c r="B236" s="9"/>
      <c r="C236" s="37"/>
      <c r="D236" s="27"/>
      <c r="E236" s="151"/>
      <c r="F236" s="28"/>
      <c r="G236" s="29"/>
      <c r="H236" s="38"/>
      <c r="I236" s="32"/>
    </row>
    <row r="237" spans="1:9" x14ac:dyDescent="0.25">
      <c r="A237" s="1"/>
      <c r="B237" s="9"/>
      <c r="C237" s="37" t="s">
        <v>279</v>
      </c>
      <c r="D237" s="27"/>
      <c r="E237" s="151">
        <f>ROUND(299.57,0)</f>
        <v>300</v>
      </c>
      <c r="F237" s="28"/>
      <c r="G237" s="155" t="s">
        <v>21</v>
      </c>
      <c r="H237" s="38"/>
      <c r="I237" s="32"/>
    </row>
    <row r="238" spans="1:9" x14ac:dyDescent="0.25">
      <c r="A238" s="1"/>
      <c r="B238" s="9"/>
      <c r="C238" s="37"/>
      <c r="D238" s="27"/>
      <c r="E238" s="151"/>
      <c r="F238" s="28"/>
      <c r="G238" s="29"/>
      <c r="H238" s="38"/>
      <c r="I238" s="32"/>
    </row>
    <row r="239" spans="1:9" x14ac:dyDescent="0.25">
      <c r="A239" s="1"/>
      <c r="B239" s="9"/>
      <c r="C239" s="39" t="s">
        <v>273</v>
      </c>
      <c r="D239" s="27"/>
      <c r="E239" s="151">
        <f>ROUND(105.58,0)</f>
        <v>106</v>
      </c>
      <c r="F239" s="28"/>
      <c r="G239" s="155" t="s">
        <v>20</v>
      </c>
      <c r="H239" s="38"/>
      <c r="I239" s="32"/>
    </row>
    <row r="240" spans="1:9" x14ac:dyDescent="0.25">
      <c r="A240" s="1"/>
      <c r="B240" s="9"/>
      <c r="C240" s="37"/>
      <c r="D240" s="27"/>
      <c r="E240" s="151"/>
      <c r="F240" s="28"/>
      <c r="G240" s="29"/>
      <c r="H240" s="38"/>
      <c r="I240" s="32"/>
    </row>
    <row r="241" spans="1:9" ht="28.5" x14ac:dyDescent="0.25">
      <c r="A241" s="1"/>
      <c r="B241" s="9"/>
      <c r="C241" s="37" t="s">
        <v>280</v>
      </c>
      <c r="D241" s="27"/>
      <c r="E241" s="151">
        <f>ROUND(18.83,0)</f>
        <v>19</v>
      </c>
      <c r="F241" s="28"/>
      <c r="G241" s="155" t="s">
        <v>20</v>
      </c>
      <c r="H241" s="38"/>
      <c r="I241" s="32"/>
    </row>
    <row r="242" spans="1:9" x14ac:dyDescent="0.25">
      <c r="A242" s="1"/>
      <c r="B242" s="9"/>
      <c r="C242" s="37"/>
      <c r="D242" s="27"/>
      <c r="E242" s="151"/>
      <c r="F242" s="28"/>
      <c r="G242" s="29"/>
      <c r="H242" s="38"/>
      <c r="I242" s="32"/>
    </row>
    <row r="243" spans="1:9" x14ac:dyDescent="0.25">
      <c r="A243" s="1"/>
      <c r="B243" s="9"/>
      <c r="C243" s="37" t="s">
        <v>281</v>
      </c>
      <c r="D243" s="27"/>
      <c r="E243" s="151">
        <f>ROUND(27.6*4,0)</f>
        <v>110</v>
      </c>
      <c r="F243" s="28"/>
      <c r="G243" s="155" t="s">
        <v>21</v>
      </c>
      <c r="H243" s="38"/>
      <c r="I243" s="32"/>
    </row>
    <row r="244" spans="1:9" x14ac:dyDescent="0.25">
      <c r="A244" s="1"/>
      <c r="B244" s="9"/>
      <c r="C244" s="37"/>
      <c r="D244" s="27"/>
      <c r="E244" s="151"/>
      <c r="F244" s="28"/>
      <c r="G244" s="29"/>
      <c r="H244" s="38"/>
      <c r="I244" s="32"/>
    </row>
    <row r="245" spans="1:9" x14ac:dyDescent="0.25">
      <c r="A245" s="1"/>
      <c r="B245" s="9"/>
      <c r="C245" s="37" t="s">
        <v>282</v>
      </c>
      <c r="D245" s="27"/>
      <c r="E245" s="151">
        <f>ROUND(18.13*1.15+38.44*0.25+9.44*0.3+32.36*0.3+1*0.5+23.65*0.5+35.23*0.6+0.15*0.7+13.82*0.7,0)</f>
        <v>86</v>
      </c>
      <c r="F245" s="28"/>
      <c r="G245" s="155" t="s">
        <v>21</v>
      </c>
      <c r="H245" s="38"/>
      <c r="I245" s="32"/>
    </row>
    <row r="246" spans="1:9" x14ac:dyDescent="0.25">
      <c r="A246" s="1"/>
      <c r="B246" s="9"/>
      <c r="C246" s="37"/>
      <c r="D246" s="27"/>
      <c r="E246" s="151"/>
      <c r="F246" s="28"/>
      <c r="G246" s="29"/>
      <c r="H246" s="38"/>
      <c r="I246" s="32"/>
    </row>
    <row r="247" spans="1:9" x14ac:dyDescent="0.25">
      <c r="A247" s="1"/>
      <c r="B247" s="9"/>
      <c r="C247" s="37" t="s">
        <v>283</v>
      </c>
      <c r="D247" s="27"/>
      <c r="E247" s="151">
        <f>ROUND(18.13*0.8+38.44*0.5+9.44*0.5+32.36*0.8+1*0.5+23.65*0.8+35.23*0.8+0.15*0.5+13.82*0.8,0)</f>
        <v>123</v>
      </c>
      <c r="F247" s="28"/>
      <c r="G247" s="155" t="s">
        <v>21</v>
      </c>
      <c r="H247" s="38"/>
      <c r="I247" s="32"/>
    </row>
    <row r="248" spans="1:9" x14ac:dyDescent="0.25">
      <c r="A248" s="1"/>
      <c r="B248" s="9"/>
      <c r="C248" s="37"/>
      <c r="D248" s="27"/>
      <c r="E248" s="151"/>
      <c r="F248" s="28"/>
      <c r="G248" s="29"/>
      <c r="H248" s="38"/>
      <c r="I248" s="32"/>
    </row>
    <row r="249" spans="1:9" x14ac:dyDescent="0.25">
      <c r="A249" s="1"/>
      <c r="B249" s="9"/>
      <c r="C249" s="37" t="s">
        <v>284</v>
      </c>
      <c r="D249" s="27"/>
      <c r="E249" s="151">
        <f>ROUND(17.26*2+45.64*2,0)</f>
        <v>126</v>
      </c>
      <c r="F249" s="28"/>
      <c r="G249" s="155" t="s">
        <v>20</v>
      </c>
      <c r="H249" s="38"/>
      <c r="I249" s="32"/>
    </row>
    <row r="250" spans="1:9" x14ac:dyDescent="0.25">
      <c r="A250" s="1"/>
      <c r="B250" s="9"/>
      <c r="C250" s="37"/>
      <c r="D250" s="27"/>
      <c r="E250" s="151"/>
      <c r="F250" s="28"/>
      <c r="G250" s="29"/>
      <c r="H250" s="38"/>
      <c r="I250" s="32"/>
    </row>
    <row r="251" spans="1:9" x14ac:dyDescent="0.25">
      <c r="A251" s="1"/>
      <c r="B251" s="9"/>
      <c r="C251" s="37" t="s">
        <v>285</v>
      </c>
      <c r="D251" s="27"/>
      <c r="E251" s="151">
        <f>ROUND(281.8,0)</f>
        <v>282</v>
      </c>
      <c r="F251" s="28"/>
      <c r="G251" s="155" t="s">
        <v>21</v>
      </c>
      <c r="H251" s="38"/>
      <c r="I251" s="32"/>
    </row>
    <row r="252" spans="1:9" x14ac:dyDescent="0.25">
      <c r="A252" s="1"/>
      <c r="B252" s="9"/>
      <c r="C252" s="37"/>
      <c r="D252" s="27"/>
      <c r="E252" s="151"/>
      <c r="F252" s="28"/>
      <c r="G252" s="29"/>
      <c r="H252" s="38"/>
      <c r="I252" s="32"/>
    </row>
    <row r="253" spans="1:9" x14ac:dyDescent="0.25">
      <c r="A253" s="1"/>
      <c r="B253" s="9"/>
      <c r="C253" s="39" t="s">
        <v>286</v>
      </c>
      <c r="D253" s="27"/>
      <c r="E253" s="151">
        <f>ROUND(125.59,0)</f>
        <v>126</v>
      </c>
      <c r="F253" s="28"/>
      <c r="G253" s="155" t="s">
        <v>20</v>
      </c>
      <c r="H253" s="38"/>
      <c r="I253" s="32"/>
    </row>
    <row r="254" spans="1:9" x14ac:dyDescent="0.25">
      <c r="A254" s="1"/>
      <c r="B254" s="9"/>
      <c r="C254" s="37"/>
      <c r="D254" s="27"/>
      <c r="E254" s="151"/>
      <c r="F254" s="28"/>
      <c r="G254" s="29"/>
      <c r="H254" s="38"/>
      <c r="I254" s="32"/>
    </row>
    <row r="255" spans="1:9" ht="28.5" x14ac:dyDescent="0.25">
      <c r="A255" s="1"/>
      <c r="B255" s="9"/>
      <c r="C255" s="37" t="s">
        <v>287</v>
      </c>
      <c r="D255" s="27"/>
      <c r="E255" s="151">
        <f>ROUND(14.32,0)</f>
        <v>14</v>
      </c>
      <c r="F255" s="28"/>
      <c r="G255" s="155" t="s">
        <v>20</v>
      </c>
      <c r="H255" s="38"/>
      <c r="I255" s="32"/>
    </row>
    <row r="256" spans="1:9" x14ac:dyDescent="0.25">
      <c r="A256" s="1"/>
      <c r="B256" s="9"/>
      <c r="C256" s="37"/>
      <c r="D256" s="27"/>
      <c r="E256" s="151"/>
      <c r="F256" s="28"/>
      <c r="G256" s="29"/>
      <c r="H256" s="38"/>
      <c r="I256" s="32"/>
    </row>
    <row r="257" spans="1:9" x14ac:dyDescent="0.25">
      <c r="A257" s="1"/>
      <c r="B257" s="9"/>
      <c r="C257" s="37" t="s">
        <v>288</v>
      </c>
      <c r="D257" s="27"/>
      <c r="E257" s="151">
        <f>ROUND(3.8*26.59,0)</f>
        <v>101</v>
      </c>
      <c r="F257" s="28"/>
      <c r="G257" s="155" t="s">
        <v>21</v>
      </c>
      <c r="H257" s="38"/>
      <c r="I257" s="32"/>
    </row>
    <row r="258" spans="1:9" x14ac:dyDescent="0.25">
      <c r="A258" s="1"/>
      <c r="B258" s="9"/>
      <c r="C258" s="37"/>
      <c r="D258" s="27"/>
      <c r="E258" s="151"/>
      <c r="F258" s="28"/>
      <c r="G258" s="29"/>
      <c r="H258" s="38"/>
      <c r="I258" s="32"/>
    </row>
    <row r="259" spans="1:9" x14ac:dyDescent="0.25">
      <c r="A259" s="1"/>
      <c r="B259" s="9"/>
      <c r="C259" s="37" t="s">
        <v>289</v>
      </c>
      <c r="D259" s="27"/>
      <c r="E259" s="151">
        <f>ROUND(46.27*1.15+27.35*0.25+2*0.3+41.58*0.3+23.7*0.5+7.5*0.6+7.1*0.7,0)</f>
        <v>94</v>
      </c>
      <c r="F259" s="28"/>
      <c r="G259" s="155" t="s">
        <v>21</v>
      </c>
      <c r="H259" s="38"/>
      <c r="I259" s="32"/>
    </row>
    <row r="260" spans="1:9" x14ac:dyDescent="0.25">
      <c r="A260" s="1"/>
      <c r="B260" s="9"/>
      <c r="C260" s="37"/>
      <c r="D260" s="27"/>
      <c r="E260" s="151"/>
      <c r="F260" s="28"/>
      <c r="G260" s="29"/>
      <c r="H260" s="38"/>
      <c r="I260" s="32"/>
    </row>
    <row r="261" spans="1:9" x14ac:dyDescent="0.25">
      <c r="A261" s="1"/>
      <c r="B261" s="9"/>
      <c r="C261" s="37" t="s">
        <v>290</v>
      </c>
      <c r="D261" s="27"/>
      <c r="E261" s="151">
        <f>ROUND(46.27*0.8+27.35*0.5+2*0.5+41.58*0.8+23.7*0.8+7.5*0.8+7.1*0.8,0)</f>
        <v>116</v>
      </c>
      <c r="F261" s="28"/>
      <c r="G261" s="155" t="s">
        <v>21</v>
      </c>
      <c r="H261" s="38"/>
      <c r="I261" s="32"/>
    </row>
    <row r="262" spans="1:9" x14ac:dyDescent="0.25">
      <c r="A262" s="1"/>
      <c r="B262" s="9"/>
      <c r="C262" s="37"/>
      <c r="D262" s="27"/>
      <c r="E262" s="151"/>
      <c r="F262" s="28"/>
      <c r="G262" s="29"/>
      <c r="H262" s="38"/>
      <c r="I262" s="32"/>
    </row>
    <row r="263" spans="1:9" x14ac:dyDescent="0.25">
      <c r="A263" s="1"/>
      <c r="B263" s="9"/>
      <c r="C263" s="37" t="s">
        <v>291</v>
      </c>
      <c r="D263" s="27"/>
      <c r="E263" s="151">
        <f>ROUND(53.12*2,0)</f>
        <v>106</v>
      </c>
      <c r="F263" s="28"/>
      <c r="G263" s="155" t="s">
        <v>20</v>
      </c>
      <c r="H263" s="38"/>
      <c r="I263" s="32"/>
    </row>
    <row r="264" spans="1:9" x14ac:dyDescent="0.25">
      <c r="A264" s="1"/>
      <c r="B264" s="9"/>
      <c r="C264" s="37"/>
      <c r="D264" s="27"/>
      <c r="E264" s="151"/>
      <c r="F264" s="28"/>
      <c r="G264" s="29"/>
      <c r="H264" s="38"/>
      <c r="I264" s="32"/>
    </row>
    <row r="265" spans="1:9" x14ac:dyDescent="0.25">
      <c r="A265" s="1"/>
      <c r="B265" s="9"/>
      <c r="C265" s="37" t="s">
        <v>292</v>
      </c>
      <c r="D265" s="27"/>
      <c r="E265" s="151">
        <f>ROUND(242.8,0)</f>
        <v>243</v>
      </c>
      <c r="F265" s="28"/>
      <c r="G265" s="155" t="s">
        <v>21</v>
      </c>
      <c r="H265" s="38"/>
      <c r="I265" s="32"/>
    </row>
    <row r="266" spans="1:9" x14ac:dyDescent="0.25">
      <c r="A266" s="1"/>
      <c r="B266" s="9"/>
      <c r="C266" s="37"/>
      <c r="D266" s="27"/>
      <c r="E266" s="151"/>
      <c r="F266" s="28"/>
      <c r="G266" s="29"/>
      <c r="H266" s="38"/>
      <c r="I266" s="32"/>
    </row>
    <row r="267" spans="1:9" x14ac:dyDescent="0.25">
      <c r="A267" s="1"/>
      <c r="B267" s="9"/>
      <c r="C267" s="39" t="s">
        <v>293</v>
      </c>
      <c r="D267" s="27"/>
      <c r="E267" s="151">
        <f>ROUND(116.48,0)</f>
        <v>116</v>
      </c>
      <c r="F267" s="28"/>
      <c r="G267" s="155" t="s">
        <v>20</v>
      </c>
      <c r="H267" s="38"/>
      <c r="I267" s="32"/>
    </row>
    <row r="268" spans="1:9" x14ac:dyDescent="0.25">
      <c r="A268" s="1"/>
      <c r="B268" s="9"/>
      <c r="C268" s="37"/>
      <c r="D268" s="27"/>
      <c r="E268" s="151"/>
      <c r="F268" s="28"/>
      <c r="G268" s="29"/>
      <c r="H268" s="38"/>
      <c r="I268" s="32"/>
    </row>
    <row r="269" spans="1:9" ht="28.5" x14ac:dyDescent="0.25">
      <c r="A269" s="1"/>
      <c r="B269" s="9"/>
      <c r="C269" s="37" t="s">
        <v>294</v>
      </c>
      <c r="D269" s="27"/>
      <c r="E269" s="151">
        <f>ROUND(6.29,0)</f>
        <v>6</v>
      </c>
      <c r="F269" s="28"/>
      <c r="G269" s="155" t="s">
        <v>20</v>
      </c>
      <c r="H269" s="38"/>
      <c r="I269" s="32"/>
    </row>
    <row r="270" spans="1:9" x14ac:dyDescent="0.25">
      <c r="A270" s="1"/>
      <c r="B270" s="9"/>
      <c r="C270" s="37"/>
      <c r="D270" s="27"/>
      <c r="E270" s="151"/>
      <c r="F270" s="28"/>
      <c r="G270" s="29"/>
      <c r="H270" s="38"/>
      <c r="I270" s="32"/>
    </row>
    <row r="271" spans="1:9" x14ac:dyDescent="0.25">
      <c r="A271" s="1"/>
      <c r="B271" s="9"/>
      <c r="C271" s="37" t="s">
        <v>295</v>
      </c>
      <c r="D271" s="27"/>
      <c r="E271" s="151">
        <f>ROUND(3.8*26.8,0)</f>
        <v>102</v>
      </c>
      <c r="F271" s="28"/>
      <c r="G271" s="155" t="s">
        <v>21</v>
      </c>
      <c r="H271" s="38"/>
      <c r="I271" s="32"/>
    </row>
    <row r="272" spans="1:9" x14ac:dyDescent="0.25">
      <c r="A272" s="1"/>
      <c r="B272" s="9"/>
      <c r="C272" s="37"/>
      <c r="D272" s="27"/>
      <c r="E272" s="151"/>
      <c r="F272" s="28"/>
      <c r="G272" s="29"/>
      <c r="H272" s="38"/>
      <c r="I272" s="32"/>
    </row>
    <row r="273" spans="1:9" x14ac:dyDescent="0.25">
      <c r="A273" s="1"/>
      <c r="B273" s="9"/>
      <c r="C273" s="39" t="s">
        <v>296</v>
      </c>
      <c r="D273" s="27"/>
      <c r="E273" s="151">
        <f>ROUND(30.15*1.15+16.54*0.25+9.18*0.3+0.42*0.5+19.87*0.5+8.2*0.5+5.15*0.6,0)</f>
        <v>59</v>
      </c>
      <c r="F273" s="28"/>
      <c r="G273" s="155" t="s">
        <v>21</v>
      </c>
      <c r="H273" s="38"/>
      <c r="I273" s="32"/>
    </row>
    <row r="274" spans="1:9" x14ac:dyDescent="0.25">
      <c r="A274" s="1"/>
      <c r="B274" s="9"/>
      <c r="C274" s="37"/>
      <c r="D274" s="27"/>
      <c r="E274" s="151"/>
      <c r="F274" s="28"/>
      <c r="G274" s="29"/>
      <c r="H274" s="38"/>
      <c r="I274" s="32"/>
    </row>
    <row r="275" spans="1:9" x14ac:dyDescent="0.25">
      <c r="A275" s="1"/>
      <c r="B275" s="9"/>
      <c r="C275" s="39" t="s">
        <v>297</v>
      </c>
      <c r="D275" s="27"/>
      <c r="E275" s="151">
        <f>ROUND(16.54*0.4+9.18*0.8+0.42*0.4+19.87*0.8+8.2*1.2+5.15*0.8,0)</f>
        <v>44</v>
      </c>
      <c r="F275" s="28"/>
      <c r="G275" s="155" t="s">
        <v>21</v>
      </c>
      <c r="H275" s="38"/>
      <c r="I275" s="32"/>
    </row>
    <row r="276" spans="1:9" x14ac:dyDescent="0.25">
      <c r="A276" s="1"/>
      <c r="B276" s="9"/>
      <c r="C276" s="37"/>
      <c r="D276" s="27"/>
      <c r="E276" s="151"/>
      <c r="F276" s="28"/>
      <c r="G276" s="29"/>
      <c r="H276" s="38"/>
      <c r="I276" s="32"/>
    </row>
    <row r="277" spans="1:9" x14ac:dyDescent="0.25">
      <c r="A277" s="1"/>
      <c r="B277" s="9"/>
      <c r="C277" s="37" t="s">
        <v>298</v>
      </c>
      <c r="D277" s="27"/>
      <c r="E277" s="151">
        <f>ROUND(59.13*2,0)</f>
        <v>118</v>
      </c>
      <c r="F277" s="28"/>
      <c r="G277" s="155" t="s">
        <v>20</v>
      </c>
      <c r="H277" s="38"/>
      <c r="I277" s="32"/>
    </row>
    <row r="278" spans="1:9" x14ac:dyDescent="0.25">
      <c r="A278" s="1"/>
      <c r="B278" s="9"/>
      <c r="C278" s="37"/>
      <c r="D278" s="27"/>
      <c r="E278" s="151"/>
      <c r="F278" s="28"/>
      <c r="G278" s="29"/>
      <c r="H278" s="38"/>
      <c r="I278" s="32"/>
    </row>
    <row r="279" spans="1:9" x14ac:dyDescent="0.25">
      <c r="A279" s="1"/>
      <c r="B279" s="9"/>
      <c r="C279" s="37" t="s">
        <v>299</v>
      </c>
      <c r="D279" s="27"/>
      <c r="E279" s="151">
        <f>ROUND(132.2*0.2,0)</f>
        <v>26</v>
      </c>
      <c r="F279" s="28"/>
      <c r="G279" s="155" t="s">
        <v>21</v>
      </c>
      <c r="H279" s="38"/>
      <c r="I279" s="32"/>
    </row>
    <row r="280" spans="1:9" x14ac:dyDescent="0.25">
      <c r="A280" s="1"/>
      <c r="B280" s="9"/>
      <c r="C280" s="37"/>
      <c r="D280" s="27"/>
      <c r="E280" s="151"/>
      <c r="F280" s="28"/>
      <c r="G280" s="29"/>
      <c r="H280" s="38"/>
      <c r="I280" s="32"/>
    </row>
    <row r="281" spans="1:9" x14ac:dyDescent="0.25">
      <c r="A281" s="1"/>
      <c r="B281" s="9"/>
      <c r="C281" s="39" t="s">
        <v>300</v>
      </c>
      <c r="D281" s="27"/>
      <c r="E281" s="151">
        <f>ROUND(95.55,0)</f>
        <v>96</v>
      </c>
      <c r="F281" s="28"/>
      <c r="G281" s="155" t="s">
        <v>20</v>
      </c>
      <c r="H281" s="38"/>
      <c r="I281" s="32"/>
    </row>
    <row r="282" spans="1:9" x14ac:dyDescent="0.25">
      <c r="A282" s="1"/>
      <c r="B282" s="9"/>
      <c r="C282" s="37"/>
      <c r="D282" s="27"/>
      <c r="E282" s="151"/>
      <c r="F282" s="28"/>
      <c r="G282" s="29"/>
      <c r="H282" s="38"/>
      <c r="I282" s="32"/>
    </row>
    <row r="283" spans="1:9" ht="28.5" x14ac:dyDescent="0.25">
      <c r="A283" s="1"/>
      <c r="B283" s="9"/>
      <c r="C283" s="37" t="s">
        <v>301</v>
      </c>
      <c r="D283" s="27"/>
      <c r="E283" s="151">
        <f>ROUND(4.88,0)</f>
        <v>5</v>
      </c>
      <c r="F283" s="28"/>
      <c r="G283" s="155" t="s">
        <v>20</v>
      </c>
      <c r="H283" s="38"/>
      <c r="I283" s="32"/>
    </row>
    <row r="284" spans="1:9" x14ac:dyDescent="0.25">
      <c r="A284" s="1"/>
      <c r="B284" s="9"/>
      <c r="C284" s="37"/>
      <c r="D284" s="27"/>
      <c r="E284" s="151"/>
      <c r="F284" s="28"/>
      <c r="G284" s="29"/>
      <c r="H284" s="38"/>
      <c r="I284" s="32"/>
    </row>
    <row r="285" spans="1:9" x14ac:dyDescent="0.25">
      <c r="A285" s="1"/>
      <c r="B285" s="9"/>
      <c r="C285" s="39" t="s">
        <v>302</v>
      </c>
      <c r="D285" s="27"/>
      <c r="E285" s="30">
        <f>ROUND(57.82+(5),0)</f>
        <v>63</v>
      </c>
      <c r="F285" s="28"/>
      <c r="G285" s="155" t="s">
        <v>21</v>
      </c>
      <c r="H285" s="38"/>
      <c r="I285" s="32"/>
    </row>
    <row r="286" spans="1:9" x14ac:dyDescent="0.25">
      <c r="A286" s="1"/>
      <c r="B286" s="9"/>
      <c r="C286" s="39"/>
      <c r="D286" s="27"/>
      <c r="E286" s="30"/>
      <c r="F286" s="28"/>
      <c r="G286" s="155"/>
      <c r="H286" s="38"/>
      <c r="I286" s="32"/>
    </row>
    <row r="287" spans="1:9" x14ac:dyDescent="0.25">
      <c r="A287" s="1"/>
      <c r="B287" s="9"/>
      <c r="C287" s="39" t="s">
        <v>305</v>
      </c>
      <c r="D287" s="27"/>
      <c r="E287" s="30">
        <f>ROUND(10.26*3+5.38+8.4+(5),0)</f>
        <v>50</v>
      </c>
      <c r="F287" s="28"/>
      <c r="G287" s="155" t="s">
        <v>21</v>
      </c>
      <c r="H287" s="38"/>
      <c r="I287" s="32"/>
    </row>
    <row r="288" spans="1:9" x14ac:dyDescent="0.25">
      <c r="A288" s="1"/>
      <c r="B288" s="9"/>
      <c r="C288" s="39"/>
      <c r="D288" s="27"/>
      <c r="E288" s="30"/>
      <c r="F288" s="28"/>
      <c r="G288" s="155"/>
      <c r="H288" s="38"/>
      <c r="I288" s="32"/>
    </row>
    <row r="289" spans="1:9" x14ac:dyDescent="0.25">
      <c r="A289" s="1"/>
      <c r="B289" s="9"/>
      <c r="C289" s="39" t="s">
        <v>328</v>
      </c>
      <c r="D289" s="27"/>
      <c r="E289" s="30">
        <f>ROUND(19,0)</f>
        <v>19</v>
      </c>
      <c r="F289" s="28"/>
      <c r="G289" s="155" t="s">
        <v>21</v>
      </c>
      <c r="H289" s="38"/>
      <c r="I289" s="32"/>
    </row>
    <row r="290" spans="1:9" x14ac:dyDescent="0.25">
      <c r="A290" s="1"/>
      <c r="B290" s="9"/>
      <c r="C290" s="37"/>
      <c r="D290" s="27"/>
      <c r="E290" s="151"/>
      <c r="F290" s="28"/>
      <c r="G290" s="29"/>
      <c r="H290" s="38"/>
      <c r="I290" s="32"/>
    </row>
    <row r="291" spans="1:9" ht="30" x14ac:dyDescent="0.25">
      <c r="A291" s="1"/>
      <c r="B291" s="9"/>
      <c r="C291" s="45" t="s">
        <v>202</v>
      </c>
      <c r="D291" s="27"/>
      <c r="E291" s="151"/>
      <c r="F291" s="28"/>
      <c r="G291" s="29"/>
      <c r="H291" s="38"/>
      <c r="I291" s="32"/>
    </row>
    <row r="292" spans="1:9" x14ac:dyDescent="0.25">
      <c r="A292" s="1"/>
      <c r="B292" s="9"/>
      <c r="C292" s="37"/>
      <c r="D292" s="27"/>
      <c r="E292" s="151"/>
      <c r="F292" s="28"/>
      <c r="G292" s="29"/>
      <c r="H292" s="38"/>
      <c r="I292" s="32"/>
    </row>
    <row r="293" spans="1:9" ht="42.75" x14ac:dyDescent="0.25">
      <c r="A293" s="1"/>
      <c r="B293" s="9"/>
      <c r="C293" s="152" t="s">
        <v>219</v>
      </c>
      <c r="D293" s="153"/>
      <c r="E293" s="151">
        <f>ROUND(93.03,0)</f>
        <v>93</v>
      </c>
      <c r="F293" s="154"/>
      <c r="G293" s="155" t="s">
        <v>21</v>
      </c>
      <c r="H293" s="38"/>
      <c r="I293" s="32"/>
    </row>
    <row r="294" spans="1:9" x14ac:dyDescent="0.25">
      <c r="A294" s="1"/>
      <c r="B294" s="9"/>
      <c r="C294" s="152"/>
      <c r="D294" s="153"/>
      <c r="E294" s="151"/>
      <c r="F294" s="154"/>
      <c r="G294" s="155"/>
      <c r="H294" s="38"/>
      <c r="I294" s="32"/>
    </row>
    <row r="295" spans="1:9" ht="42.75" x14ac:dyDescent="0.25">
      <c r="A295" s="1"/>
      <c r="B295" s="9"/>
      <c r="C295" s="152" t="s">
        <v>220</v>
      </c>
      <c r="D295" s="153"/>
      <c r="E295" s="151">
        <f>ROUND(10.05,0)</f>
        <v>10</v>
      </c>
      <c r="F295" s="154"/>
      <c r="G295" s="155" t="s">
        <v>21</v>
      </c>
      <c r="H295" s="38"/>
      <c r="I295" s="32"/>
    </row>
    <row r="296" spans="1:9" x14ac:dyDescent="0.25">
      <c r="A296" s="1"/>
      <c r="B296" s="9"/>
      <c r="C296" s="152"/>
      <c r="D296" s="153"/>
      <c r="E296" s="151"/>
      <c r="F296" s="154"/>
      <c r="G296" s="155"/>
      <c r="H296" s="38"/>
      <c r="I296" s="32"/>
    </row>
    <row r="297" spans="1:9" ht="42.75" x14ac:dyDescent="0.25">
      <c r="A297" s="1"/>
      <c r="B297" s="9"/>
      <c r="C297" s="152" t="s">
        <v>221</v>
      </c>
      <c r="D297" s="153"/>
      <c r="E297" s="151">
        <f>ROUND(75.57+6.85,0)</f>
        <v>82</v>
      </c>
      <c r="F297" s="154"/>
      <c r="G297" s="155" t="s">
        <v>21</v>
      </c>
      <c r="H297" s="38"/>
      <c r="I297" s="32"/>
    </row>
    <row r="298" spans="1:9" x14ac:dyDescent="0.25">
      <c r="A298" s="1"/>
      <c r="B298" s="9"/>
      <c r="C298" s="152"/>
      <c r="D298" s="153"/>
      <c r="E298" s="151"/>
      <c r="F298" s="154"/>
      <c r="G298" s="155"/>
      <c r="H298" s="38"/>
      <c r="I298" s="32"/>
    </row>
    <row r="299" spans="1:9" ht="42.75" x14ac:dyDescent="0.25">
      <c r="A299" s="1"/>
      <c r="B299" s="9"/>
      <c r="C299" s="152" t="s">
        <v>231</v>
      </c>
      <c r="D299" s="153"/>
      <c r="E299" s="151">
        <f>ROUND(79.85,0)</f>
        <v>80</v>
      </c>
      <c r="F299" s="154"/>
      <c r="G299" s="155" t="s">
        <v>21</v>
      </c>
      <c r="H299" s="38"/>
      <c r="I299" s="32"/>
    </row>
    <row r="300" spans="1:9" x14ac:dyDescent="0.25">
      <c r="A300" s="1"/>
      <c r="B300" s="9"/>
      <c r="C300" s="152"/>
      <c r="D300" s="153"/>
      <c r="E300" s="151"/>
      <c r="F300" s="154"/>
      <c r="G300" s="155"/>
      <c r="H300" s="38"/>
      <c r="I300" s="32"/>
    </row>
    <row r="301" spans="1:9" ht="42.75" x14ac:dyDescent="0.25">
      <c r="A301" s="1"/>
      <c r="B301" s="9"/>
      <c r="C301" s="152" t="s">
        <v>232</v>
      </c>
      <c r="D301" s="153"/>
      <c r="E301" s="151">
        <f>ROUND(12.54,0)</f>
        <v>13</v>
      </c>
      <c r="F301" s="154"/>
      <c r="G301" s="155" t="s">
        <v>21</v>
      </c>
      <c r="H301" s="38"/>
      <c r="I301" s="32"/>
    </row>
    <row r="302" spans="1:9" x14ac:dyDescent="0.25">
      <c r="A302" s="1"/>
      <c r="B302" s="9"/>
      <c r="C302" s="152"/>
      <c r="D302" s="153"/>
      <c r="E302" s="151"/>
      <c r="F302" s="154"/>
      <c r="G302" s="155"/>
      <c r="H302" s="38"/>
      <c r="I302" s="32"/>
    </row>
    <row r="303" spans="1:9" ht="42.75" x14ac:dyDescent="0.25">
      <c r="A303" s="1"/>
      <c r="B303" s="9"/>
      <c r="C303" s="152" t="s">
        <v>233</v>
      </c>
      <c r="D303" s="153"/>
      <c r="E303" s="151">
        <f>ROUND(4.63+46.5,0)</f>
        <v>51</v>
      </c>
      <c r="F303" s="154"/>
      <c r="G303" s="155" t="s">
        <v>21</v>
      </c>
      <c r="H303" s="38"/>
      <c r="I303" s="32"/>
    </row>
    <row r="304" spans="1:9" x14ac:dyDescent="0.25">
      <c r="A304" s="1"/>
      <c r="B304" s="9"/>
      <c r="C304" s="152"/>
      <c r="D304" s="153"/>
      <c r="E304" s="151"/>
      <c r="F304" s="154"/>
      <c r="G304" s="155"/>
      <c r="H304" s="38"/>
      <c r="I304" s="32"/>
    </row>
    <row r="305" spans="1:9" ht="42.75" x14ac:dyDescent="0.25">
      <c r="A305" s="1"/>
      <c r="B305" s="9"/>
      <c r="C305" s="152" t="s">
        <v>245</v>
      </c>
      <c r="D305" s="153"/>
      <c r="E305" s="151">
        <f>ROUND(70.48,0)</f>
        <v>70</v>
      </c>
      <c r="F305" s="154"/>
      <c r="G305" s="155" t="s">
        <v>21</v>
      </c>
      <c r="H305" s="38"/>
      <c r="I305" s="32"/>
    </row>
    <row r="306" spans="1:9" x14ac:dyDescent="0.25">
      <c r="A306" s="1"/>
      <c r="B306" s="9"/>
      <c r="C306" s="152"/>
      <c r="D306" s="153"/>
      <c r="E306" s="151"/>
      <c r="F306" s="154"/>
      <c r="G306" s="155"/>
      <c r="H306" s="38"/>
      <c r="I306" s="32"/>
    </row>
    <row r="307" spans="1:9" ht="42.75" x14ac:dyDescent="0.25">
      <c r="A307" s="1"/>
      <c r="B307" s="9"/>
      <c r="C307" s="152" t="s">
        <v>246</v>
      </c>
      <c r="D307" s="153"/>
      <c r="E307" s="151">
        <f>ROUND(68.49,0)</f>
        <v>68</v>
      </c>
      <c r="F307" s="154"/>
      <c r="G307" s="155" t="s">
        <v>21</v>
      </c>
      <c r="H307" s="38"/>
      <c r="I307" s="32"/>
    </row>
    <row r="308" spans="1:9" x14ac:dyDescent="0.25">
      <c r="A308" s="1"/>
      <c r="B308" s="9"/>
      <c r="C308" s="152"/>
      <c r="D308" s="153"/>
      <c r="E308" s="151"/>
      <c r="F308" s="154"/>
      <c r="G308" s="155"/>
      <c r="H308" s="38"/>
      <c r="I308" s="32"/>
    </row>
    <row r="309" spans="1:9" x14ac:dyDescent="0.25">
      <c r="A309" s="1"/>
      <c r="B309" s="9"/>
      <c r="C309" s="150" t="s">
        <v>304</v>
      </c>
      <c r="D309" s="153"/>
      <c r="E309" s="151"/>
      <c r="F309" s="154"/>
      <c r="G309" s="155"/>
      <c r="H309" s="38"/>
      <c r="I309" s="32"/>
    </row>
    <row r="310" spans="1:9" x14ac:dyDescent="0.25">
      <c r="A310" s="1"/>
      <c r="B310" s="9"/>
      <c r="C310" s="37"/>
      <c r="D310" s="153"/>
      <c r="E310" s="151"/>
      <c r="F310" s="154"/>
      <c r="G310" s="155"/>
      <c r="H310" s="38"/>
      <c r="I310" s="32"/>
    </row>
    <row r="311" spans="1:9" x14ac:dyDescent="0.25">
      <c r="A311" s="1"/>
      <c r="B311" s="9"/>
      <c r="C311" s="33" t="s">
        <v>32</v>
      </c>
      <c r="D311" s="153"/>
      <c r="E311" s="151"/>
      <c r="F311" s="154"/>
      <c r="G311" s="155"/>
      <c r="H311" s="38"/>
      <c r="I311" s="32"/>
    </row>
    <row r="312" spans="1:9" x14ac:dyDescent="0.25">
      <c r="A312" s="1"/>
      <c r="B312" s="9"/>
      <c r="C312" s="37"/>
      <c r="D312" s="153"/>
      <c r="E312" s="151"/>
      <c r="F312" s="154"/>
      <c r="G312" s="155"/>
      <c r="H312" s="38"/>
      <c r="I312" s="32"/>
    </row>
    <row r="313" spans="1:9" ht="30" x14ac:dyDescent="0.25">
      <c r="A313" s="1"/>
      <c r="B313" s="9"/>
      <c r="C313" s="45" t="s">
        <v>49</v>
      </c>
      <c r="D313" s="153"/>
      <c r="E313" s="151"/>
      <c r="F313" s="154"/>
      <c r="G313" s="155"/>
      <c r="H313" s="38"/>
      <c r="I313" s="32"/>
    </row>
    <row r="314" spans="1:9" x14ac:dyDescent="0.25">
      <c r="A314" s="1"/>
      <c r="B314" s="9"/>
      <c r="C314" s="152"/>
      <c r="D314" s="153"/>
      <c r="E314" s="151"/>
      <c r="F314" s="154"/>
      <c r="G314" s="155"/>
      <c r="H314" s="38"/>
      <c r="I314" s="32"/>
    </row>
    <row r="315" spans="1:9" x14ac:dyDescent="0.25">
      <c r="A315" s="1"/>
      <c r="B315" s="9"/>
      <c r="C315" s="37" t="s">
        <v>355</v>
      </c>
      <c r="D315" s="27"/>
      <c r="E315" s="151">
        <f>ROUND(26.4*(48.35-44.9-0.2)-(1.85*3.8),0)</f>
        <v>79</v>
      </c>
      <c r="F315" s="28"/>
      <c r="G315" s="155" t="s">
        <v>21</v>
      </c>
      <c r="H315" s="38"/>
      <c r="I315" s="32"/>
    </row>
    <row r="316" spans="1:9" x14ac:dyDescent="0.25">
      <c r="A316" s="1"/>
      <c r="B316" s="9"/>
      <c r="C316" s="37"/>
      <c r="D316" s="27"/>
      <c r="E316" s="151"/>
      <c r="F316" s="28"/>
      <c r="G316" s="155"/>
      <c r="H316" s="38"/>
      <c r="I316" s="32"/>
    </row>
    <row r="317" spans="1:9" x14ac:dyDescent="0.25">
      <c r="A317" s="1"/>
      <c r="B317" s="9"/>
      <c r="C317" s="37" t="s">
        <v>222</v>
      </c>
      <c r="D317" s="27"/>
      <c r="E317" s="151">
        <f>ROUND(13.36*0.2+7*0.25+0.5*0.3+16.8*0.3+49.53*0.3+0.68*0.3+2.75*0.4+1.5*0.5+17.22*0.65+0.5*0.8+14.9*0.8-8.23*0.25,0)</f>
        <v>48</v>
      </c>
      <c r="F317" s="28"/>
      <c r="G317" s="29" t="s">
        <v>21</v>
      </c>
      <c r="H317" s="38"/>
      <c r="I317" s="32"/>
    </row>
    <row r="318" spans="1:9" x14ac:dyDescent="0.25">
      <c r="A318" s="1"/>
      <c r="B318" s="9"/>
      <c r="C318" s="37"/>
      <c r="D318" s="27"/>
      <c r="E318" s="30"/>
      <c r="F318" s="28"/>
      <c r="G318" s="29"/>
      <c r="H318" s="38"/>
      <c r="I318" s="32"/>
    </row>
    <row r="319" spans="1:9" x14ac:dyDescent="0.25">
      <c r="A319" s="1"/>
      <c r="B319" s="9"/>
      <c r="C319" s="37" t="s">
        <v>223</v>
      </c>
      <c r="D319" s="27"/>
      <c r="E319" s="151">
        <f>ROUND(16.11*0.45-8*0.45+7*0.4*2+0.5*0.35*2+16.8*0.3+49.53*0.4*2+0.68*0.6*2+1.5*0.4*2+17.22*0.15*2+2*0.15+0.5*0.15*2+14.9*0.4*2,0)</f>
        <v>74</v>
      </c>
      <c r="F319" s="28"/>
      <c r="G319" s="29" t="s">
        <v>21</v>
      </c>
      <c r="H319" s="38"/>
      <c r="I319" s="32"/>
    </row>
    <row r="320" spans="1:9" x14ac:dyDescent="0.25">
      <c r="A320" s="1"/>
      <c r="B320" s="9"/>
      <c r="C320" s="37"/>
      <c r="D320" s="27"/>
      <c r="E320" s="151"/>
      <c r="F320" s="28"/>
      <c r="G320" s="29"/>
      <c r="H320" s="38"/>
      <c r="I320" s="32"/>
    </row>
    <row r="321" spans="1:9" x14ac:dyDescent="0.25">
      <c r="A321" s="1"/>
      <c r="B321" s="9"/>
      <c r="C321" s="37" t="s">
        <v>22</v>
      </c>
      <c r="D321" s="27"/>
      <c r="E321" s="30">
        <f>+ROUND(3.81+1.72+173.2,0)</f>
        <v>179</v>
      </c>
      <c r="F321" s="28"/>
      <c r="G321" s="29" t="s">
        <v>21</v>
      </c>
      <c r="H321" s="38"/>
      <c r="I321" s="32"/>
    </row>
    <row r="322" spans="1:9" x14ac:dyDescent="0.25">
      <c r="A322" s="1"/>
      <c r="B322" s="9"/>
      <c r="C322" s="37"/>
      <c r="D322" s="27"/>
      <c r="E322" s="151"/>
      <c r="F322" s="28"/>
      <c r="G322" s="29"/>
      <c r="H322" s="38"/>
      <c r="I322" s="32"/>
    </row>
    <row r="323" spans="1:9" x14ac:dyDescent="0.25">
      <c r="A323" s="1"/>
      <c r="B323" s="9"/>
      <c r="C323" s="37" t="s">
        <v>203</v>
      </c>
      <c r="D323" s="27"/>
      <c r="E323" s="30">
        <f>+ROUND(30.27*(48.35-44.9)-(2.93*3.45)+(7.5*1.85+7.5*1.32*2),0)</f>
        <v>128</v>
      </c>
      <c r="F323" s="28"/>
      <c r="G323" s="29" t="s">
        <v>21</v>
      </c>
      <c r="H323" s="38"/>
      <c r="I323" s="32"/>
    </row>
    <row r="324" spans="1:9" x14ac:dyDescent="0.25">
      <c r="A324" s="1"/>
      <c r="B324" s="9"/>
      <c r="C324" s="37"/>
      <c r="D324" s="27"/>
      <c r="E324" s="151"/>
      <c r="F324" s="28"/>
      <c r="G324" s="29"/>
      <c r="H324" s="38"/>
      <c r="I324" s="32"/>
    </row>
    <row r="325" spans="1:9" x14ac:dyDescent="0.25">
      <c r="A325" s="1"/>
      <c r="B325" s="9"/>
      <c r="C325" s="37" t="s">
        <v>356</v>
      </c>
      <c r="D325" s="27"/>
      <c r="E325" s="30">
        <f>+ROUND(3.25*3.8,0)</f>
        <v>12</v>
      </c>
      <c r="F325" s="28"/>
      <c r="G325" s="29" t="s">
        <v>21</v>
      </c>
      <c r="H325" s="38"/>
      <c r="I325" s="32"/>
    </row>
    <row r="326" spans="1:9" x14ac:dyDescent="0.25">
      <c r="A326" s="1"/>
      <c r="B326" s="9"/>
      <c r="C326" s="37"/>
      <c r="D326" s="27"/>
      <c r="E326" s="151"/>
      <c r="F326" s="28"/>
      <c r="G326" s="29"/>
      <c r="H326" s="38"/>
      <c r="I326" s="32"/>
    </row>
    <row r="327" spans="1:9" x14ac:dyDescent="0.25">
      <c r="A327" s="1"/>
      <c r="B327" s="9"/>
      <c r="C327" s="37" t="s">
        <v>341</v>
      </c>
      <c r="D327" s="27"/>
      <c r="E327" s="151">
        <f>ROUND(5.9*0.4*2+16.6*0.35,0)</f>
        <v>11</v>
      </c>
      <c r="F327" s="28"/>
      <c r="G327" s="29" t="s">
        <v>21</v>
      </c>
      <c r="H327" s="38"/>
      <c r="I327" s="32"/>
    </row>
    <row r="328" spans="1:9" x14ac:dyDescent="0.25">
      <c r="A328" s="1"/>
      <c r="B328" s="9"/>
      <c r="C328" s="37"/>
      <c r="D328" s="27"/>
      <c r="E328" s="151"/>
      <c r="F328" s="28"/>
      <c r="G328" s="29"/>
      <c r="H328" s="38"/>
      <c r="I328" s="32"/>
    </row>
    <row r="329" spans="1:9" ht="28.5" x14ac:dyDescent="0.25">
      <c r="A329" s="1"/>
      <c r="B329" s="9"/>
      <c r="C329" s="37" t="s">
        <v>210</v>
      </c>
      <c r="D329" s="27"/>
      <c r="E329" s="30">
        <f>+ROUND(18.24,0)</f>
        <v>18</v>
      </c>
      <c r="F329" s="28"/>
      <c r="G329" s="29" t="s">
        <v>20</v>
      </c>
      <c r="H329" s="38"/>
      <c r="I329" s="32"/>
    </row>
    <row r="330" spans="1:9" x14ac:dyDescent="0.25">
      <c r="A330" s="1"/>
      <c r="B330" s="9"/>
      <c r="C330" s="152"/>
      <c r="D330" s="153"/>
      <c r="E330" s="151"/>
      <c r="F330" s="154"/>
      <c r="G330" s="155"/>
      <c r="H330" s="38"/>
      <c r="I330" s="32"/>
    </row>
    <row r="331" spans="1:9" x14ac:dyDescent="0.25">
      <c r="A331" s="1"/>
      <c r="B331" s="9"/>
      <c r="C331" s="37" t="s">
        <v>357</v>
      </c>
      <c r="D331" s="27"/>
      <c r="E331" s="30">
        <f>+ROUND(3.25,0)</f>
        <v>3</v>
      </c>
      <c r="F331" s="28"/>
      <c r="G331" s="29" t="s">
        <v>20</v>
      </c>
      <c r="H331" s="38"/>
      <c r="I331" s="32"/>
    </row>
    <row r="332" spans="1:9" x14ac:dyDescent="0.25">
      <c r="A332" s="1"/>
      <c r="B332" s="9"/>
      <c r="C332" s="152"/>
      <c r="D332" s="153"/>
      <c r="E332" s="151"/>
      <c r="F332" s="154"/>
      <c r="G332" s="155"/>
      <c r="H332" s="38"/>
      <c r="I332" s="32"/>
    </row>
    <row r="333" spans="1:9" x14ac:dyDescent="0.25">
      <c r="A333" s="1"/>
      <c r="B333" s="9"/>
      <c r="C333" s="37" t="s">
        <v>212</v>
      </c>
      <c r="D333" s="27"/>
      <c r="E333" s="151">
        <f>ROUND(31.16*(51.9-48.35-0.2)-(1.84*1.5),0)</f>
        <v>102</v>
      </c>
      <c r="F333" s="28"/>
      <c r="G333" s="155" t="s">
        <v>21</v>
      </c>
      <c r="H333" s="38"/>
      <c r="I333" s="32"/>
    </row>
    <row r="334" spans="1:9" x14ac:dyDescent="0.25">
      <c r="A334" s="1"/>
      <c r="B334" s="9"/>
      <c r="C334" s="37"/>
      <c r="D334" s="27"/>
      <c r="E334" s="151"/>
      <c r="F334" s="28"/>
      <c r="G334" s="155"/>
      <c r="H334" s="38"/>
      <c r="I334" s="32"/>
    </row>
    <row r="335" spans="1:9" ht="28.5" x14ac:dyDescent="0.25">
      <c r="A335" s="1"/>
      <c r="B335" s="9"/>
      <c r="C335" s="37" t="s">
        <v>358</v>
      </c>
      <c r="D335" s="27"/>
      <c r="E335" s="151">
        <f>ROUND(16.11*0.2-8-0.2+7*0.25+0.25*0.3+16.8*0.3+52.2*0.3+0.29*0.4+1.5*0.5+17.3*0.65+0.5*0.8+14.9*0.8,0)</f>
        <v>42</v>
      </c>
      <c r="F335" s="28"/>
      <c r="G335" s="29" t="s">
        <v>21</v>
      </c>
      <c r="H335" s="38"/>
      <c r="I335" s="32"/>
    </row>
    <row r="336" spans="1:9" x14ac:dyDescent="0.25">
      <c r="A336" s="1"/>
      <c r="B336" s="9"/>
      <c r="C336" s="37"/>
      <c r="D336" s="27"/>
      <c r="E336" s="30"/>
      <c r="F336" s="28"/>
      <c r="G336" s="29"/>
      <c r="H336" s="38"/>
      <c r="I336" s="32"/>
    </row>
    <row r="337" spans="1:9" ht="28.5" x14ac:dyDescent="0.25">
      <c r="A337" s="1"/>
      <c r="B337" s="9"/>
      <c r="C337" s="37" t="s">
        <v>226</v>
      </c>
      <c r="D337" s="27"/>
      <c r="E337" s="151">
        <f>ROUND(16.11*0.6+7*0.4+1.85*0.6+0.25*0.35*2+16.8*0.3+52.2*0.4*2+0.29*0.4*2+1.5*0.4*2+17.3*0.15*2+0.5*0.35*2+14.9*0.6*2,0)</f>
        <v>85</v>
      </c>
      <c r="F337" s="28"/>
      <c r="G337" s="29" t="s">
        <v>21</v>
      </c>
      <c r="H337" s="38"/>
      <c r="I337" s="32"/>
    </row>
    <row r="338" spans="1:9" x14ac:dyDescent="0.25">
      <c r="A338" s="1"/>
      <c r="B338" s="9"/>
      <c r="C338" s="37"/>
      <c r="D338" s="27"/>
      <c r="E338" s="151"/>
      <c r="F338" s="28"/>
      <c r="G338" s="29"/>
      <c r="H338" s="38"/>
      <c r="I338" s="32"/>
    </row>
    <row r="339" spans="1:9" x14ac:dyDescent="0.25">
      <c r="A339" s="1"/>
      <c r="B339" s="9"/>
      <c r="C339" s="37" t="s">
        <v>213</v>
      </c>
      <c r="D339" s="27"/>
      <c r="E339" s="30">
        <f>+ROUND(174.11+10.99,0)</f>
        <v>185</v>
      </c>
      <c r="F339" s="28"/>
      <c r="G339" s="29" t="s">
        <v>21</v>
      </c>
      <c r="H339" s="38"/>
      <c r="I339" s="32"/>
    </row>
    <row r="340" spans="1:9" x14ac:dyDescent="0.25">
      <c r="A340" s="1"/>
      <c r="B340" s="9"/>
      <c r="C340" s="37"/>
      <c r="D340" s="27"/>
      <c r="E340" s="151"/>
      <c r="F340" s="28"/>
      <c r="G340" s="29"/>
      <c r="H340" s="38"/>
      <c r="I340" s="32"/>
    </row>
    <row r="341" spans="1:9" ht="28.5" x14ac:dyDescent="0.25">
      <c r="A341" s="1"/>
      <c r="B341" s="9"/>
      <c r="C341" s="37" t="s">
        <v>214</v>
      </c>
      <c r="D341" s="27"/>
      <c r="E341" s="30">
        <f>+ROUND(24.41*(51.9-48.35),0)</f>
        <v>87</v>
      </c>
      <c r="F341" s="28"/>
      <c r="G341" s="29" t="s">
        <v>21</v>
      </c>
      <c r="H341" s="38"/>
      <c r="I341" s="32"/>
    </row>
    <row r="342" spans="1:9" x14ac:dyDescent="0.25">
      <c r="A342" s="1"/>
      <c r="B342" s="9"/>
      <c r="C342" s="37"/>
      <c r="D342" s="27"/>
      <c r="E342" s="151"/>
      <c r="F342" s="28"/>
      <c r="G342" s="29"/>
      <c r="H342" s="38"/>
      <c r="I342" s="32"/>
    </row>
    <row r="343" spans="1:9" x14ac:dyDescent="0.25">
      <c r="A343" s="1"/>
      <c r="B343" s="9"/>
      <c r="C343" s="37" t="s">
        <v>359</v>
      </c>
      <c r="D343" s="27"/>
      <c r="E343" s="30">
        <f>+ROUND(6.1*2.85+1.45*13.33*2-7.57*1.45,0)</f>
        <v>45</v>
      </c>
      <c r="F343" s="28"/>
      <c r="G343" s="29" t="s">
        <v>21</v>
      </c>
      <c r="H343" s="38"/>
      <c r="I343" s="32"/>
    </row>
    <row r="344" spans="1:9" x14ac:dyDescent="0.25">
      <c r="A344" s="1"/>
      <c r="B344" s="9"/>
      <c r="C344" s="37"/>
      <c r="D344" s="27"/>
      <c r="E344" s="151"/>
      <c r="F344" s="28"/>
      <c r="G344" s="29"/>
      <c r="H344" s="38"/>
      <c r="I344" s="32"/>
    </row>
    <row r="345" spans="1:9" x14ac:dyDescent="0.25">
      <c r="A345" s="1"/>
      <c r="B345" s="9"/>
      <c r="C345" s="156" t="s">
        <v>342</v>
      </c>
      <c r="D345" s="153"/>
      <c r="E345" s="151">
        <f>ROUND(16.6*0.35,0)</f>
        <v>6</v>
      </c>
      <c r="F345" s="154"/>
      <c r="G345" s="155" t="s">
        <v>21</v>
      </c>
      <c r="H345" s="38"/>
      <c r="I345" s="32"/>
    </row>
    <row r="346" spans="1:9" x14ac:dyDescent="0.25">
      <c r="A346" s="1"/>
      <c r="B346" s="9"/>
      <c r="C346" s="37"/>
      <c r="D346" s="27"/>
      <c r="E346" s="151"/>
      <c r="F346" s="28"/>
      <c r="G346" s="29"/>
      <c r="H346" s="38"/>
      <c r="I346" s="32"/>
    </row>
    <row r="347" spans="1:9" ht="28.5" x14ac:dyDescent="0.25">
      <c r="A347" s="1"/>
      <c r="B347" s="9"/>
      <c r="C347" s="37" t="s">
        <v>217</v>
      </c>
      <c r="D347" s="27"/>
      <c r="E347" s="30">
        <f>+ROUND(11.08,0)</f>
        <v>11</v>
      </c>
      <c r="F347" s="28"/>
      <c r="G347" s="29" t="s">
        <v>20</v>
      </c>
      <c r="H347" s="38"/>
      <c r="I347" s="32"/>
    </row>
    <row r="348" spans="1:9" x14ac:dyDescent="0.25">
      <c r="A348" s="1"/>
      <c r="B348" s="9"/>
      <c r="C348" s="152"/>
      <c r="D348" s="153"/>
      <c r="E348" s="151"/>
      <c r="F348" s="154"/>
      <c r="G348" s="155"/>
      <c r="H348" s="38"/>
      <c r="I348" s="32"/>
    </row>
    <row r="349" spans="1:9" ht="28.5" x14ac:dyDescent="0.25">
      <c r="A349" s="1"/>
      <c r="B349" s="9"/>
      <c r="C349" s="37" t="s">
        <v>360</v>
      </c>
      <c r="D349" s="27"/>
      <c r="E349" s="30">
        <f>+ROUND(3.25,0)</f>
        <v>3</v>
      </c>
      <c r="F349" s="28"/>
      <c r="G349" s="29" t="s">
        <v>20</v>
      </c>
      <c r="H349" s="38"/>
      <c r="I349" s="32"/>
    </row>
    <row r="350" spans="1:9" x14ac:dyDescent="0.25">
      <c r="A350" s="1"/>
      <c r="B350" s="9"/>
      <c r="C350" s="152"/>
      <c r="D350" s="153"/>
      <c r="E350" s="151"/>
      <c r="F350" s="154"/>
      <c r="G350" s="155"/>
      <c r="H350" s="38"/>
      <c r="I350" s="32"/>
    </row>
    <row r="351" spans="1:9" x14ac:dyDescent="0.25">
      <c r="A351" s="1"/>
      <c r="B351" s="9"/>
      <c r="C351" s="37" t="s">
        <v>206</v>
      </c>
      <c r="D351" s="27"/>
      <c r="E351" s="151">
        <f>ROUND(31.16*(51.9-48.35-0.2)-(1.84*1.5),0)</f>
        <v>102</v>
      </c>
      <c r="F351" s="28"/>
      <c r="G351" s="155" t="s">
        <v>21</v>
      </c>
      <c r="H351" s="38"/>
      <c r="I351" s="32"/>
    </row>
    <row r="352" spans="1:9" x14ac:dyDescent="0.25">
      <c r="A352" s="1"/>
      <c r="B352" s="9"/>
      <c r="C352" s="37"/>
      <c r="D352" s="27"/>
      <c r="E352" s="151"/>
      <c r="F352" s="28"/>
      <c r="G352" s="155"/>
      <c r="H352" s="38"/>
      <c r="I352" s="32"/>
    </row>
    <row r="353" spans="1:9" x14ac:dyDescent="0.25">
      <c r="A353" s="1"/>
      <c r="B353" s="9"/>
      <c r="C353" s="37" t="s">
        <v>229</v>
      </c>
      <c r="D353" s="27"/>
      <c r="E353" s="151">
        <f>ROUND(16.11*0.2-8-0.2+7*0.25+0.25*0.3+16.8*0.3+52.2*0.3+0.29*0.4+1.5*0.5+17.3*0.65+0.5*0.8+14.9*0.8,0)</f>
        <v>42</v>
      </c>
      <c r="F353" s="28"/>
      <c r="G353" s="29" t="s">
        <v>21</v>
      </c>
      <c r="H353" s="38"/>
      <c r="I353" s="32"/>
    </row>
    <row r="354" spans="1:9" x14ac:dyDescent="0.25">
      <c r="A354" s="1"/>
      <c r="B354" s="9"/>
      <c r="C354" s="37"/>
      <c r="D354" s="27"/>
      <c r="E354" s="30"/>
      <c r="F354" s="28"/>
      <c r="G354" s="29"/>
      <c r="H354" s="38"/>
      <c r="I354" s="32"/>
    </row>
    <row r="355" spans="1:9" x14ac:dyDescent="0.25">
      <c r="A355" s="1"/>
      <c r="B355" s="9"/>
      <c r="C355" s="37" t="s">
        <v>228</v>
      </c>
      <c r="D355" s="27"/>
      <c r="E355" s="151">
        <f>ROUND(16.11*0.6+7*0.4+1.85*0.6+0.25*0.35*2+16.8*0.3*2+52.2*0.4*2+0.29*0.4*2+1.5*0.4*2+17.3*0.15*2+0.5*0.35*2+14.9*0.6*2,0)</f>
        <v>90</v>
      </c>
      <c r="F355" s="28"/>
      <c r="G355" s="29" t="s">
        <v>21</v>
      </c>
      <c r="H355" s="38"/>
      <c r="I355" s="32"/>
    </row>
    <row r="356" spans="1:9" x14ac:dyDescent="0.25">
      <c r="A356" s="1"/>
      <c r="B356" s="9"/>
      <c r="C356" s="37"/>
      <c r="D356" s="27"/>
      <c r="E356" s="151"/>
      <c r="F356" s="28"/>
      <c r="G356" s="29"/>
      <c r="H356" s="38"/>
      <c r="I356" s="32"/>
    </row>
    <row r="357" spans="1:9" x14ac:dyDescent="0.25">
      <c r="A357" s="1"/>
      <c r="B357" s="9"/>
      <c r="C357" s="37" t="s">
        <v>50</v>
      </c>
      <c r="D357" s="27"/>
      <c r="E357" s="30">
        <f>+ROUND(174.11+10.99,0)</f>
        <v>185</v>
      </c>
      <c r="F357" s="28"/>
      <c r="G357" s="29" t="s">
        <v>21</v>
      </c>
      <c r="H357" s="38"/>
      <c r="I357" s="32"/>
    </row>
    <row r="358" spans="1:9" x14ac:dyDescent="0.25">
      <c r="A358" s="1"/>
      <c r="B358" s="9"/>
      <c r="C358" s="37"/>
      <c r="D358" s="27"/>
      <c r="E358" s="151"/>
      <c r="F358" s="28"/>
      <c r="G358" s="29"/>
      <c r="H358" s="38"/>
      <c r="I358" s="32"/>
    </row>
    <row r="359" spans="1:9" ht="28.5" x14ac:dyDescent="0.25">
      <c r="A359" s="1"/>
      <c r="B359" s="9"/>
      <c r="C359" s="37" t="s">
        <v>207</v>
      </c>
      <c r="D359" s="27"/>
      <c r="E359" s="30">
        <f>+ROUND(24.41*(51.9-48.35),0)</f>
        <v>87</v>
      </c>
      <c r="F359" s="28"/>
      <c r="G359" s="29" t="s">
        <v>21</v>
      </c>
      <c r="H359" s="38"/>
      <c r="I359" s="32"/>
    </row>
    <row r="360" spans="1:9" x14ac:dyDescent="0.25">
      <c r="A360" s="1"/>
      <c r="B360" s="9"/>
      <c r="C360" s="37"/>
      <c r="D360" s="27"/>
      <c r="E360" s="151"/>
      <c r="F360" s="28"/>
      <c r="G360" s="29"/>
      <c r="H360" s="38"/>
      <c r="I360" s="32"/>
    </row>
    <row r="361" spans="1:9" x14ac:dyDescent="0.25">
      <c r="A361" s="1"/>
      <c r="B361" s="9"/>
      <c r="C361" s="37" t="s">
        <v>361</v>
      </c>
      <c r="D361" s="27"/>
      <c r="E361" s="30">
        <f>+ROUND(6.1*2.85+1.45*13.33*2-7.57*1.45,0)</f>
        <v>45</v>
      </c>
      <c r="F361" s="28"/>
      <c r="G361" s="29" t="s">
        <v>21</v>
      </c>
      <c r="H361" s="38"/>
      <c r="I361" s="32"/>
    </row>
    <row r="362" spans="1:9" x14ac:dyDescent="0.25">
      <c r="A362" s="1"/>
      <c r="B362" s="9"/>
      <c r="C362" s="37"/>
      <c r="D362" s="27"/>
      <c r="E362" s="151"/>
      <c r="F362" s="28"/>
      <c r="G362" s="29"/>
      <c r="H362" s="38"/>
      <c r="I362" s="32"/>
    </row>
    <row r="363" spans="1:9" x14ac:dyDescent="0.25">
      <c r="A363" s="1"/>
      <c r="B363" s="9"/>
      <c r="C363" s="156" t="s">
        <v>343</v>
      </c>
      <c r="D363" s="153"/>
      <c r="E363" s="151">
        <f>ROUND(16.6*0.35,0)</f>
        <v>6</v>
      </c>
      <c r="F363" s="154"/>
      <c r="G363" s="155" t="s">
        <v>21</v>
      </c>
      <c r="H363" s="38"/>
      <c r="I363" s="32"/>
    </row>
    <row r="364" spans="1:9" x14ac:dyDescent="0.25">
      <c r="A364" s="1"/>
      <c r="B364" s="9"/>
      <c r="C364" s="37"/>
      <c r="D364" s="27"/>
      <c r="E364" s="151"/>
      <c r="F364" s="28"/>
      <c r="G364" s="29"/>
      <c r="H364" s="38"/>
      <c r="I364" s="32"/>
    </row>
    <row r="365" spans="1:9" x14ac:dyDescent="0.25">
      <c r="A365" s="1"/>
      <c r="B365" s="9"/>
      <c r="C365" s="37" t="s">
        <v>362</v>
      </c>
      <c r="D365" s="27"/>
      <c r="E365" s="30">
        <f>+ROUND(11.08,0)</f>
        <v>11</v>
      </c>
      <c r="F365" s="28"/>
      <c r="G365" s="29" t="s">
        <v>20</v>
      </c>
      <c r="H365" s="38"/>
      <c r="I365" s="32"/>
    </row>
    <row r="366" spans="1:9" x14ac:dyDescent="0.25">
      <c r="A366" s="1"/>
      <c r="B366" s="9"/>
      <c r="C366" s="152"/>
      <c r="D366" s="153"/>
      <c r="E366" s="151"/>
      <c r="F366" s="154"/>
      <c r="G366" s="155"/>
      <c r="H366" s="38"/>
      <c r="I366" s="32"/>
    </row>
    <row r="367" spans="1:9" x14ac:dyDescent="0.25">
      <c r="A367" s="1"/>
      <c r="B367" s="9"/>
      <c r="C367" s="37" t="s">
        <v>235</v>
      </c>
      <c r="D367" s="27"/>
      <c r="E367" s="151">
        <f>ROUND(31.16*(60.1-55.2-0.2),0)</f>
        <v>146</v>
      </c>
      <c r="F367" s="28"/>
      <c r="G367" s="155" t="s">
        <v>21</v>
      </c>
      <c r="H367" s="38"/>
      <c r="I367" s="32"/>
    </row>
    <row r="368" spans="1:9" x14ac:dyDescent="0.25">
      <c r="A368" s="1"/>
      <c r="B368" s="9"/>
      <c r="C368" s="37"/>
      <c r="D368" s="27"/>
      <c r="E368" s="151"/>
      <c r="F368" s="28"/>
      <c r="G368" s="155"/>
      <c r="H368" s="38"/>
      <c r="I368" s="32"/>
    </row>
    <row r="369" spans="1:9" x14ac:dyDescent="0.25">
      <c r="A369" s="1"/>
      <c r="B369" s="9"/>
      <c r="C369" s="37" t="s">
        <v>236</v>
      </c>
      <c r="D369" s="27"/>
      <c r="E369" s="151">
        <f>ROUND(16.11*0.2-8.5*0.2+7*0.25+0.25*0.3+16.8*0.3+43.33*0.3+0.29*0.4+1.5*0.5+17.6*0.65+0.5*0.8+14.9*0.8,0)</f>
        <v>46</v>
      </c>
      <c r="F369" s="28"/>
      <c r="G369" s="29" t="s">
        <v>21</v>
      </c>
      <c r="H369" s="38"/>
      <c r="I369" s="32"/>
    </row>
    <row r="370" spans="1:9" x14ac:dyDescent="0.25">
      <c r="A370" s="1"/>
      <c r="B370" s="9"/>
      <c r="C370" s="37"/>
      <c r="D370" s="27"/>
      <c r="E370" s="30"/>
      <c r="F370" s="28"/>
      <c r="G370" s="29"/>
      <c r="H370" s="38"/>
      <c r="I370" s="32"/>
    </row>
    <row r="371" spans="1:9" x14ac:dyDescent="0.25">
      <c r="A371" s="1"/>
      <c r="B371" s="9"/>
      <c r="C371" s="37" t="s">
        <v>237</v>
      </c>
      <c r="D371" s="27"/>
      <c r="E371" s="151">
        <f>ROUND(16.11*0.6+7*0.4*2+2.4*0.6+0.25*0.35*2+16.8*0.3*2+43.33*0.4*2+0.29*0.4*2+1.5*0.4*2+17.6*0.15*2+0.5*0.15*2+14.9*0.4*2,0)</f>
        <v>80</v>
      </c>
      <c r="F371" s="28"/>
      <c r="G371" s="29" t="s">
        <v>21</v>
      </c>
      <c r="H371" s="38"/>
      <c r="I371" s="32"/>
    </row>
    <row r="372" spans="1:9" x14ac:dyDescent="0.25">
      <c r="A372" s="1"/>
      <c r="B372" s="9"/>
      <c r="C372" s="37"/>
      <c r="D372" s="27"/>
      <c r="E372" s="151"/>
      <c r="F372" s="28"/>
      <c r="G372" s="29"/>
      <c r="H372" s="38"/>
      <c r="I372" s="32"/>
    </row>
    <row r="373" spans="1:9" x14ac:dyDescent="0.25">
      <c r="A373" s="1"/>
      <c r="B373" s="9"/>
      <c r="C373" s="37" t="s">
        <v>51</v>
      </c>
      <c r="D373" s="27"/>
      <c r="E373" s="30">
        <f>+ROUND(173.4+10.99,0)</f>
        <v>184</v>
      </c>
      <c r="F373" s="28"/>
      <c r="G373" s="29" t="s">
        <v>21</v>
      </c>
      <c r="H373" s="38"/>
      <c r="I373" s="32"/>
    </row>
    <row r="374" spans="1:9" x14ac:dyDescent="0.25">
      <c r="A374" s="1"/>
      <c r="B374" s="9"/>
      <c r="C374" s="37"/>
      <c r="D374" s="27"/>
      <c r="E374" s="151"/>
      <c r="F374" s="28"/>
      <c r="G374" s="29"/>
      <c r="H374" s="38"/>
      <c r="I374" s="32"/>
    </row>
    <row r="375" spans="1:9" ht="28.5" x14ac:dyDescent="0.25">
      <c r="A375" s="1"/>
      <c r="B375" s="9"/>
      <c r="C375" s="37" t="s">
        <v>239</v>
      </c>
      <c r="D375" s="27"/>
      <c r="E375" s="30">
        <f>+ROUND(24.41*(60.1-55.2-0.2),0)</f>
        <v>115</v>
      </c>
      <c r="F375" s="28"/>
      <c r="G375" s="29" t="s">
        <v>21</v>
      </c>
      <c r="H375" s="38"/>
      <c r="I375" s="32"/>
    </row>
    <row r="376" spans="1:9" x14ac:dyDescent="0.25">
      <c r="A376" s="1"/>
      <c r="B376" s="9"/>
      <c r="C376" s="37"/>
      <c r="D376" s="27"/>
      <c r="E376" s="151"/>
      <c r="F376" s="28"/>
      <c r="G376" s="29"/>
      <c r="H376" s="38"/>
      <c r="I376" s="32"/>
    </row>
    <row r="377" spans="1:9" x14ac:dyDescent="0.25">
      <c r="A377" s="1"/>
      <c r="B377" s="9"/>
      <c r="C377" s="37" t="s">
        <v>363</v>
      </c>
      <c r="D377" s="27"/>
      <c r="E377" s="30">
        <f>+ROUND(13.33*1.85*4-8.5*1.85+3.38*4,0)</f>
        <v>96</v>
      </c>
      <c r="F377" s="28"/>
      <c r="G377" s="29" t="s">
        <v>21</v>
      </c>
      <c r="H377" s="38"/>
      <c r="I377" s="32"/>
    </row>
    <row r="378" spans="1:9" x14ac:dyDescent="0.25">
      <c r="A378" s="1"/>
      <c r="B378" s="9"/>
      <c r="C378" s="37"/>
      <c r="D378" s="27"/>
      <c r="E378" s="151"/>
      <c r="F378" s="28"/>
      <c r="G378" s="29"/>
      <c r="H378" s="38"/>
      <c r="I378" s="32"/>
    </row>
    <row r="379" spans="1:9" x14ac:dyDescent="0.25">
      <c r="A379" s="1"/>
      <c r="B379" s="9"/>
      <c r="C379" s="156" t="s">
        <v>344</v>
      </c>
      <c r="D379" s="153"/>
      <c r="E379" s="151">
        <f>ROUND(16.6*0.35,0)</f>
        <v>6</v>
      </c>
      <c r="F379" s="154"/>
      <c r="G379" s="155" t="s">
        <v>21</v>
      </c>
      <c r="H379" s="38"/>
      <c r="I379" s="32"/>
    </row>
    <row r="380" spans="1:9" x14ac:dyDescent="0.25">
      <c r="A380" s="1"/>
      <c r="B380" s="9"/>
      <c r="C380" s="37"/>
      <c r="D380" s="27"/>
      <c r="E380" s="151"/>
      <c r="F380" s="28"/>
      <c r="G380" s="29"/>
      <c r="H380" s="38"/>
      <c r="I380" s="32"/>
    </row>
    <row r="381" spans="1:9" x14ac:dyDescent="0.25">
      <c r="A381" s="1"/>
      <c r="B381" s="9"/>
      <c r="C381" s="37" t="s">
        <v>364</v>
      </c>
      <c r="D381" s="27"/>
      <c r="E381" s="30">
        <f>+ROUND(11.08,0)</f>
        <v>11</v>
      </c>
      <c r="F381" s="28"/>
      <c r="G381" s="29" t="s">
        <v>20</v>
      </c>
      <c r="H381" s="38"/>
      <c r="I381" s="32"/>
    </row>
    <row r="382" spans="1:9" x14ac:dyDescent="0.25">
      <c r="A382" s="1"/>
      <c r="B382" s="9"/>
      <c r="C382" s="152"/>
      <c r="D382" s="153"/>
      <c r="E382" s="151"/>
      <c r="F382" s="154"/>
      <c r="G382" s="155"/>
      <c r="H382" s="38"/>
      <c r="I382" s="32"/>
    </row>
    <row r="383" spans="1:9" x14ac:dyDescent="0.25">
      <c r="A383" s="1"/>
      <c r="B383" s="9"/>
      <c r="C383" s="37" t="s">
        <v>247</v>
      </c>
      <c r="D383" s="27"/>
      <c r="E383" s="151">
        <f>ROUND(31.16*(64.1-60.1-0.2)-(5.33*3.8),0)</f>
        <v>98</v>
      </c>
      <c r="F383" s="28"/>
      <c r="G383" s="155" t="s">
        <v>21</v>
      </c>
      <c r="H383" s="38"/>
      <c r="I383" s="32"/>
    </row>
    <row r="384" spans="1:9" x14ac:dyDescent="0.25">
      <c r="A384" s="1"/>
      <c r="B384" s="9"/>
      <c r="C384" s="37"/>
      <c r="D384" s="27"/>
      <c r="E384" s="151"/>
      <c r="F384" s="28"/>
      <c r="G384" s="155"/>
      <c r="H384" s="38"/>
      <c r="I384" s="32"/>
    </row>
    <row r="385" spans="1:9" x14ac:dyDescent="0.25">
      <c r="A385" s="1"/>
      <c r="B385" s="9"/>
      <c r="C385" s="37" t="s">
        <v>251</v>
      </c>
      <c r="D385" s="27"/>
      <c r="E385" s="151">
        <f>ROUND(16.11*0.2-8.5*0.2+7*0.25+8.59*0.3+0.25*0.3+16.8*0.3+34.78*0.3+0.29*0.4+1.5*0.5+18.6*0.65+0.5*0.8+14.9*0.8,0)</f>
        <v>47</v>
      </c>
      <c r="F385" s="28"/>
      <c r="G385" s="29" t="s">
        <v>21</v>
      </c>
      <c r="H385" s="38"/>
      <c r="I385" s="32"/>
    </row>
    <row r="386" spans="1:9" x14ac:dyDescent="0.25">
      <c r="A386" s="1"/>
      <c r="B386" s="9"/>
      <c r="C386" s="37"/>
      <c r="D386" s="27"/>
      <c r="E386" s="30"/>
      <c r="F386" s="28"/>
      <c r="G386" s="29"/>
      <c r="H386" s="38"/>
      <c r="I386" s="32"/>
    </row>
    <row r="387" spans="1:9" x14ac:dyDescent="0.25">
      <c r="A387" s="1"/>
      <c r="B387" s="9"/>
      <c r="C387" s="37" t="s">
        <v>252</v>
      </c>
      <c r="D387" s="27"/>
      <c r="E387" s="151">
        <f>ROUND(16.11*1.05+7*0.6*2+8.59*0.9*2+0.25*0.15*2+16.8*0.3*2+34.78*0.4*2+0.29*0.9*2+1.5*0.4*2+18.6*0.15*2+0.5*0.15*2+14.9*0.4*2,0)</f>
        <v>98</v>
      </c>
      <c r="F387" s="28"/>
      <c r="G387" s="29" t="s">
        <v>21</v>
      </c>
      <c r="H387" s="38"/>
      <c r="I387" s="32"/>
    </row>
    <row r="388" spans="1:9" x14ac:dyDescent="0.25">
      <c r="A388" s="1"/>
      <c r="B388" s="9"/>
      <c r="C388" s="37"/>
      <c r="D388" s="27"/>
      <c r="E388" s="151"/>
      <c r="F388" s="28"/>
      <c r="G388" s="29"/>
      <c r="H388" s="38"/>
      <c r="I388" s="32"/>
    </row>
    <row r="389" spans="1:9" x14ac:dyDescent="0.25">
      <c r="A389" s="1"/>
      <c r="B389" s="9"/>
      <c r="C389" s="37" t="s">
        <v>52</v>
      </c>
      <c r="D389" s="27"/>
      <c r="E389" s="151">
        <f>ROUND(173.49+10.99,0)</f>
        <v>184</v>
      </c>
      <c r="F389" s="28"/>
      <c r="G389" s="29" t="s">
        <v>21</v>
      </c>
      <c r="H389" s="38"/>
      <c r="I389" s="32"/>
    </row>
    <row r="390" spans="1:9" x14ac:dyDescent="0.25">
      <c r="A390" s="1"/>
      <c r="B390" s="9"/>
      <c r="C390" s="37"/>
      <c r="D390" s="27"/>
      <c r="E390" s="151"/>
      <c r="F390" s="28"/>
      <c r="G390" s="29"/>
      <c r="H390" s="38"/>
      <c r="I390" s="32"/>
    </row>
    <row r="391" spans="1:9" ht="28.5" x14ac:dyDescent="0.25">
      <c r="A391" s="1"/>
      <c r="B391" s="9"/>
      <c r="C391" s="37" t="s">
        <v>365</v>
      </c>
      <c r="D391" s="27"/>
      <c r="E391" s="151">
        <f>ROUND(24.41*(64.1-60.1),0)</f>
        <v>98</v>
      </c>
      <c r="F391" s="28"/>
      <c r="G391" s="29" t="s">
        <v>21</v>
      </c>
      <c r="H391" s="38"/>
      <c r="I391" s="32"/>
    </row>
    <row r="392" spans="1:9" x14ac:dyDescent="0.25">
      <c r="A392" s="1"/>
      <c r="B392" s="9"/>
      <c r="C392" s="37"/>
      <c r="D392" s="27"/>
      <c r="E392" s="151"/>
      <c r="F392" s="28"/>
      <c r="G392" s="29"/>
      <c r="H392" s="38"/>
      <c r="I392" s="32"/>
    </row>
    <row r="393" spans="1:9" x14ac:dyDescent="0.25">
      <c r="A393" s="1"/>
      <c r="B393" s="9"/>
      <c r="C393" s="37" t="s">
        <v>366</v>
      </c>
      <c r="D393" s="27"/>
      <c r="E393" s="151">
        <f>ROUND(13.33*2.2*4-8.5*2.2*1+3.38*3.8*2,0)</f>
        <v>124</v>
      </c>
      <c r="F393" s="28"/>
      <c r="G393" s="29" t="s">
        <v>21</v>
      </c>
      <c r="H393" s="38"/>
      <c r="I393" s="32"/>
    </row>
    <row r="394" spans="1:9" x14ac:dyDescent="0.25">
      <c r="A394" s="1"/>
      <c r="B394" s="9"/>
      <c r="C394" s="37"/>
      <c r="D394" s="27"/>
      <c r="E394" s="151"/>
      <c r="F394" s="28"/>
      <c r="G394" s="29"/>
      <c r="H394" s="38"/>
      <c r="I394" s="32"/>
    </row>
    <row r="395" spans="1:9" x14ac:dyDescent="0.25">
      <c r="A395" s="1"/>
      <c r="B395" s="9"/>
      <c r="C395" s="156" t="s">
        <v>345</v>
      </c>
      <c r="D395" s="153"/>
      <c r="E395" s="151">
        <f>ROUND(16.6*0.35,0)</f>
        <v>6</v>
      </c>
      <c r="F395" s="154"/>
      <c r="G395" s="155" t="s">
        <v>21</v>
      </c>
      <c r="H395" s="38"/>
      <c r="I395" s="32"/>
    </row>
    <row r="396" spans="1:9" x14ac:dyDescent="0.25">
      <c r="A396" s="1"/>
      <c r="B396" s="9"/>
      <c r="C396" s="37"/>
      <c r="D396" s="27"/>
      <c r="E396" s="151"/>
      <c r="F396" s="28"/>
      <c r="G396" s="29"/>
      <c r="H396" s="38"/>
      <c r="I396" s="32"/>
    </row>
    <row r="397" spans="1:9" x14ac:dyDescent="0.25">
      <c r="A397" s="1"/>
      <c r="B397" s="9"/>
      <c r="C397" s="37" t="s">
        <v>367</v>
      </c>
      <c r="D397" s="27"/>
      <c r="E397" s="30">
        <f>+ROUND(11.08,0)</f>
        <v>11</v>
      </c>
      <c r="F397" s="28"/>
      <c r="G397" s="29" t="s">
        <v>20</v>
      </c>
      <c r="H397" s="38"/>
      <c r="I397" s="32"/>
    </row>
    <row r="398" spans="1:9" x14ac:dyDescent="0.25">
      <c r="A398" s="1"/>
      <c r="B398" s="9"/>
      <c r="C398" s="152"/>
      <c r="D398" s="153"/>
      <c r="E398" s="151"/>
      <c r="F398" s="154"/>
      <c r="G398" s="155"/>
      <c r="H398" s="38"/>
      <c r="I398" s="32"/>
    </row>
    <row r="399" spans="1:9" x14ac:dyDescent="0.25">
      <c r="A399" s="1"/>
      <c r="B399" s="9"/>
      <c r="C399" s="37" t="s">
        <v>254</v>
      </c>
      <c r="D399" s="27"/>
      <c r="E399" s="151">
        <f>ROUND(31.16*(68.1-64.1-0.2)-(5.33*3.8),0)</f>
        <v>98</v>
      </c>
      <c r="F399" s="28"/>
      <c r="G399" s="155" t="s">
        <v>21</v>
      </c>
      <c r="H399" s="38"/>
      <c r="I399" s="32"/>
    </row>
    <row r="400" spans="1:9" x14ac:dyDescent="0.25">
      <c r="A400" s="1"/>
      <c r="B400" s="9"/>
      <c r="C400" s="37"/>
      <c r="D400" s="27"/>
      <c r="E400" s="151"/>
      <c r="F400" s="28"/>
      <c r="G400" s="155"/>
      <c r="H400" s="38"/>
      <c r="I400" s="32"/>
    </row>
    <row r="401" spans="1:9" x14ac:dyDescent="0.25">
      <c r="A401" s="1"/>
      <c r="B401" s="9"/>
      <c r="C401" s="37" t="s">
        <v>255</v>
      </c>
      <c r="D401" s="27"/>
      <c r="E401" s="151">
        <f>ROUND(16.11*0.2-8.5*0.2+7*0.25+8.43*0.3+0.25*0.3+16.8*0.3+34.78*0.3+0.29*0.4+1.5*0.5+18*0.65+0.7*0.8+14.9*0.8,0)</f>
        <v>46</v>
      </c>
      <c r="F401" s="28"/>
      <c r="G401" s="29" t="s">
        <v>21</v>
      </c>
      <c r="H401" s="38"/>
      <c r="I401" s="32"/>
    </row>
    <row r="402" spans="1:9" x14ac:dyDescent="0.25">
      <c r="A402" s="1"/>
      <c r="B402" s="9"/>
      <c r="C402" s="37"/>
      <c r="D402" s="27"/>
      <c r="E402" s="30"/>
      <c r="F402" s="28"/>
      <c r="G402" s="29"/>
      <c r="H402" s="38"/>
      <c r="I402" s="32"/>
    </row>
    <row r="403" spans="1:9" x14ac:dyDescent="0.25">
      <c r="A403" s="1"/>
      <c r="B403" s="9"/>
      <c r="C403" s="37" t="s">
        <v>256</v>
      </c>
      <c r="D403" s="27"/>
      <c r="E403" s="151">
        <f>ROUND(16.11*1+7*0.4*2+1.8*0.2+8.43*0.8+0.25*0.35*2+16.8*0.3*2+34.78*0.4*2+0.29*0.1*2+1.5*0.4*2+18*0.15*2+0.7*0.15+14.9*0.4,0)</f>
        <v>80</v>
      </c>
      <c r="F403" s="28"/>
      <c r="G403" s="29" t="s">
        <v>21</v>
      </c>
      <c r="H403" s="38"/>
      <c r="I403" s="32"/>
    </row>
    <row r="404" spans="1:9" x14ac:dyDescent="0.25">
      <c r="A404" s="1"/>
      <c r="B404" s="9"/>
      <c r="C404" s="37"/>
      <c r="D404" s="27"/>
      <c r="E404" s="151"/>
      <c r="F404" s="28"/>
      <c r="G404" s="29"/>
      <c r="H404" s="38"/>
      <c r="I404" s="32"/>
    </row>
    <row r="405" spans="1:9" x14ac:dyDescent="0.25">
      <c r="A405" s="1"/>
      <c r="B405" s="9"/>
      <c r="C405" s="37" t="s">
        <v>368</v>
      </c>
      <c r="D405" s="27"/>
      <c r="E405" s="151">
        <f>ROUND(12.22+173.36,0)</f>
        <v>186</v>
      </c>
      <c r="F405" s="28"/>
      <c r="G405" s="29" t="s">
        <v>21</v>
      </c>
      <c r="H405" s="38"/>
      <c r="I405" s="32"/>
    </row>
    <row r="406" spans="1:9" x14ac:dyDescent="0.25">
      <c r="A406" s="1"/>
      <c r="B406" s="9"/>
      <c r="C406" s="37"/>
      <c r="D406" s="27"/>
      <c r="E406" s="151"/>
      <c r="F406" s="28"/>
      <c r="G406" s="29"/>
      <c r="H406" s="38"/>
      <c r="I406" s="32"/>
    </row>
    <row r="407" spans="1:9" ht="28.5" x14ac:dyDescent="0.25">
      <c r="A407" s="1"/>
      <c r="B407" s="9"/>
      <c r="C407" s="37" t="s">
        <v>369</v>
      </c>
      <c r="D407" s="27"/>
      <c r="E407" s="151">
        <f>ROUND(24.41*(68.1-64.1-0.2),0)</f>
        <v>93</v>
      </c>
      <c r="F407" s="28"/>
      <c r="G407" s="29" t="s">
        <v>21</v>
      </c>
      <c r="H407" s="38"/>
      <c r="I407" s="32"/>
    </row>
    <row r="408" spans="1:9" x14ac:dyDescent="0.25">
      <c r="A408" s="1"/>
      <c r="B408" s="9"/>
      <c r="C408" s="37"/>
      <c r="D408" s="27"/>
      <c r="E408" s="151"/>
      <c r="F408" s="28"/>
      <c r="G408" s="29"/>
      <c r="H408" s="38"/>
      <c r="I408" s="32"/>
    </row>
    <row r="409" spans="1:9" x14ac:dyDescent="0.25">
      <c r="A409" s="1"/>
      <c r="B409" s="9"/>
      <c r="C409" s="37" t="s">
        <v>370</v>
      </c>
      <c r="D409" s="27"/>
      <c r="E409" s="151">
        <f>ROUND(9.92*1*4-8.5*1+3.35*4+2.89*1*2,0)</f>
        <v>50</v>
      </c>
      <c r="F409" s="28"/>
      <c r="G409" s="29" t="s">
        <v>21</v>
      </c>
      <c r="H409" s="38"/>
      <c r="I409" s="32"/>
    </row>
    <row r="410" spans="1:9" x14ac:dyDescent="0.25">
      <c r="A410" s="1"/>
      <c r="B410" s="9"/>
      <c r="C410" s="37"/>
      <c r="D410" s="27"/>
      <c r="E410" s="151"/>
      <c r="F410" s="28"/>
      <c r="G410" s="29"/>
      <c r="H410" s="38"/>
      <c r="I410" s="32"/>
    </row>
    <row r="411" spans="1:9" x14ac:dyDescent="0.25">
      <c r="A411" s="1"/>
      <c r="B411" s="9"/>
      <c r="C411" s="156" t="s">
        <v>346</v>
      </c>
      <c r="D411" s="153"/>
      <c r="E411" s="151">
        <f>ROUND(16.6*0.35,0)</f>
        <v>6</v>
      </c>
      <c r="F411" s="154"/>
      <c r="G411" s="155" t="s">
        <v>21</v>
      </c>
      <c r="H411" s="38"/>
      <c r="I411" s="32"/>
    </row>
    <row r="412" spans="1:9" x14ac:dyDescent="0.25">
      <c r="A412" s="1"/>
      <c r="B412" s="9"/>
      <c r="C412" s="37"/>
      <c r="D412" s="27"/>
      <c r="E412" s="151"/>
      <c r="F412" s="28"/>
      <c r="G412" s="29"/>
      <c r="H412" s="38"/>
      <c r="I412" s="32"/>
    </row>
    <row r="413" spans="1:9" x14ac:dyDescent="0.25">
      <c r="A413" s="1"/>
      <c r="B413" s="9"/>
      <c r="C413" s="37" t="s">
        <v>371</v>
      </c>
      <c r="D413" s="27"/>
      <c r="E413" s="30">
        <f>+ROUND(11.08,0)</f>
        <v>11</v>
      </c>
      <c r="F413" s="28"/>
      <c r="G413" s="29" t="s">
        <v>20</v>
      </c>
      <c r="H413" s="38"/>
      <c r="I413" s="32"/>
    </row>
    <row r="414" spans="1:9" x14ac:dyDescent="0.25">
      <c r="A414" s="1"/>
      <c r="B414" s="9"/>
      <c r="C414" s="152"/>
      <c r="D414" s="153"/>
      <c r="E414" s="151"/>
      <c r="F414" s="154"/>
      <c r="G414" s="155"/>
      <c r="H414" s="38"/>
      <c r="I414" s="32"/>
    </row>
    <row r="415" spans="1:9" x14ac:dyDescent="0.25">
      <c r="A415" s="1"/>
      <c r="B415" s="9"/>
      <c r="C415" s="37" t="s">
        <v>261</v>
      </c>
      <c r="D415" s="27"/>
      <c r="E415" s="151">
        <f>ROUND(28.36*(72.1-68.1-0.2),0)</f>
        <v>108</v>
      </c>
      <c r="F415" s="28"/>
      <c r="G415" s="155" t="s">
        <v>21</v>
      </c>
      <c r="H415" s="38"/>
      <c r="I415" s="32"/>
    </row>
    <row r="416" spans="1:9" x14ac:dyDescent="0.25">
      <c r="A416" s="1"/>
      <c r="B416" s="9"/>
      <c r="C416" s="37"/>
      <c r="D416" s="27"/>
      <c r="E416" s="151"/>
      <c r="F416" s="28"/>
      <c r="G416" s="155"/>
      <c r="H416" s="38"/>
      <c r="I416" s="32"/>
    </row>
    <row r="417" spans="1:9" x14ac:dyDescent="0.25">
      <c r="A417" s="1"/>
      <c r="B417" s="9"/>
      <c r="C417" s="37" t="s">
        <v>262</v>
      </c>
      <c r="D417" s="27"/>
      <c r="E417" s="151">
        <f>ROUND(15.5*0.2-8.5*0.2+7*0.25+16.01*0.3+55.77*0.3+0.29*0.4+1.5*0.5+13.7*0.65+0.7*0.8+14.9*0.8,0)</f>
        <v>47</v>
      </c>
      <c r="F417" s="28"/>
      <c r="G417" s="29" t="s">
        <v>21</v>
      </c>
      <c r="H417" s="38"/>
      <c r="I417" s="32"/>
    </row>
    <row r="418" spans="1:9" x14ac:dyDescent="0.25">
      <c r="A418" s="1"/>
      <c r="B418" s="9"/>
      <c r="C418" s="37"/>
      <c r="D418" s="27"/>
      <c r="E418" s="30"/>
      <c r="F418" s="28"/>
      <c r="G418" s="29"/>
      <c r="H418" s="38"/>
      <c r="I418" s="32"/>
    </row>
    <row r="419" spans="1:9" x14ac:dyDescent="0.25">
      <c r="A419" s="1"/>
      <c r="B419" s="9"/>
      <c r="C419" s="37" t="s">
        <v>263</v>
      </c>
      <c r="D419" s="27"/>
      <c r="E419" s="151">
        <f>ROUND(15.5*0.6+7*0.4*2+1.5*0.2+16.01*0.3*2+55.77*0.4*2+0.29*0.4*2+1.5*0.4*2+13.7*0.15*2+0.7*0.15*2+14.9*0.4*2,0)</f>
        <v>87</v>
      </c>
      <c r="F419" s="28"/>
      <c r="G419" s="29" t="s">
        <v>21</v>
      </c>
      <c r="H419" s="38"/>
      <c r="I419" s="32"/>
    </row>
    <row r="420" spans="1:9" x14ac:dyDescent="0.25">
      <c r="A420" s="1"/>
      <c r="B420" s="9"/>
      <c r="C420" s="37"/>
      <c r="D420" s="27"/>
      <c r="E420" s="151"/>
      <c r="F420" s="28"/>
      <c r="G420" s="29"/>
      <c r="H420" s="38"/>
      <c r="I420" s="32"/>
    </row>
    <row r="421" spans="1:9" x14ac:dyDescent="0.25">
      <c r="A421" s="1"/>
      <c r="B421" s="9"/>
      <c r="C421" s="37" t="s">
        <v>372</v>
      </c>
      <c r="D421" s="27"/>
      <c r="E421" s="151">
        <f>ROUND(135.3+10.99,0)</f>
        <v>146</v>
      </c>
      <c r="F421" s="28"/>
      <c r="G421" s="29" t="s">
        <v>21</v>
      </c>
      <c r="H421" s="38"/>
      <c r="I421" s="32"/>
    </row>
    <row r="422" spans="1:9" x14ac:dyDescent="0.25">
      <c r="A422" s="1"/>
      <c r="B422" s="9"/>
      <c r="C422" s="37"/>
      <c r="D422" s="27"/>
      <c r="E422" s="151"/>
      <c r="F422" s="28"/>
      <c r="G422" s="29"/>
      <c r="H422" s="38"/>
      <c r="I422" s="32"/>
    </row>
    <row r="423" spans="1:9" ht="28.5" x14ac:dyDescent="0.25">
      <c r="A423" s="1"/>
      <c r="B423" s="9"/>
      <c r="C423" s="37" t="s">
        <v>373</v>
      </c>
      <c r="D423" s="27"/>
      <c r="E423" s="151">
        <f>ROUND(24.41*(72.1-68.1-0.2),0)</f>
        <v>93</v>
      </c>
      <c r="F423" s="28"/>
      <c r="G423" s="29" t="s">
        <v>21</v>
      </c>
      <c r="H423" s="38"/>
      <c r="I423" s="32"/>
    </row>
    <row r="424" spans="1:9" x14ac:dyDescent="0.25">
      <c r="A424" s="1"/>
      <c r="B424" s="9"/>
      <c r="C424" s="37"/>
      <c r="D424" s="27"/>
      <c r="E424" s="151"/>
      <c r="F424" s="28"/>
      <c r="G424" s="29"/>
      <c r="H424" s="38"/>
      <c r="I424" s="32"/>
    </row>
    <row r="425" spans="1:9" x14ac:dyDescent="0.25">
      <c r="A425" s="1"/>
      <c r="B425" s="9"/>
      <c r="C425" s="37" t="s">
        <v>374</v>
      </c>
      <c r="D425" s="27"/>
      <c r="E425" s="151">
        <f>ROUND(13.33*1.45*4-8.5*1.45+3.5*4,0)</f>
        <v>79</v>
      </c>
      <c r="F425" s="28"/>
      <c r="G425" s="29" t="s">
        <v>21</v>
      </c>
      <c r="H425" s="38"/>
      <c r="I425" s="32"/>
    </row>
    <row r="426" spans="1:9" x14ac:dyDescent="0.25">
      <c r="A426" s="1"/>
      <c r="B426" s="9"/>
      <c r="C426" s="37"/>
      <c r="D426" s="27"/>
      <c r="E426" s="151"/>
      <c r="F426" s="28"/>
      <c r="G426" s="29"/>
      <c r="H426" s="38"/>
      <c r="I426" s="32"/>
    </row>
    <row r="427" spans="1:9" x14ac:dyDescent="0.25">
      <c r="A427" s="1"/>
      <c r="B427" s="9"/>
      <c r="C427" s="156" t="s">
        <v>347</v>
      </c>
      <c r="D427" s="153"/>
      <c r="E427" s="151">
        <f>ROUND(11.7*0.35+5.9*0.4*2+0.75*1.25*2,0)</f>
        <v>11</v>
      </c>
      <c r="F427" s="154"/>
      <c r="G427" s="155" t="s">
        <v>21</v>
      </c>
      <c r="H427" s="38"/>
      <c r="I427" s="32"/>
    </row>
    <row r="428" spans="1:9" x14ac:dyDescent="0.25">
      <c r="A428" s="1"/>
      <c r="B428" s="9"/>
      <c r="C428" s="37"/>
      <c r="D428" s="27"/>
      <c r="E428" s="151"/>
      <c r="F428" s="28"/>
      <c r="G428" s="29"/>
      <c r="H428" s="38"/>
      <c r="I428" s="32"/>
    </row>
    <row r="429" spans="1:9" x14ac:dyDescent="0.25">
      <c r="A429" s="1"/>
      <c r="B429" s="9"/>
      <c r="C429" s="37" t="s">
        <v>375</v>
      </c>
      <c r="D429" s="27"/>
      <c r="E429" s="30">
        <f>+ROUND(11.08,0)</f>
        <v>11</v>
      </c>
      <c r="F429" s="28"/>
      <c r="G429" s="29" t="s">
        <v>20</v>
      </c>
      <c r="H429" s="38"/>
      <c r="I429" s="32"/>
    </row>
    <row r="430" spans="1:9" x14ac:dyDescent="0.25">
      <c r="A430" s="1"/>
      <c r="B430" s="9"/>
      <c r="C430" s="152"/>
      <c r="D430" s="153"/>
      <c r="E430" s="151"/>
      <c r="F430" s="154"/>
      <c r="G430" s="155"/>
      <c r="H430" s="38"/>
      <c r="I430" s="32"/>
    </row>
    <row r="431" spans="1:9" x14ac:dyDescent="0.25">
      <c r="A431" s="1"/>
      <c r="B431" s="9"/>
      <c r="C431" s="37" t="s">
        <v>268</v>
      </c>
      <c r="D431" s="27"/>
      <c r="E431" s="151">
        <f>ROUND(28.4*(76.1-72.1-0.2)-(5.3*4),0)</f>
        <v>87</v>
      </c>
      <c r="F431" s="28"/>
      <c r="G431" s="155" t="s">
        <v>21</v>
      </c>
      <c r="H431" s="38"/>
      <c r="I431" s="32"/>
    </row>
    <row r="432" spans="1:9" x14ac:dyDescent="0.25">
      <c r="A432" s="1"/>
      <c r="B432" s="9"/>
      <c r="C432" s="37"/>
      <c r="D432" s="27"/>
      <c r="E432" s="151"/>
      <c r="F432" s="28"/>
      <c r="G432" s="155"/>
      <c r="H432" s="38"/>
      <c r="I432" s="32"/>
    </row>
    <row r="433" spans="1:9" x14ac:dyDescent="0.25">
      <c r="A433" s="1"/>
      <c r="B433" s="9"/>
      <c r="C433" s="37" t="s">
        <v>269</v>
      </c>
      <c r="D433" s="27"/>
      <c r="E433" s="151">
        <f>ROUND(16.11*0.2-8.5*0.2+7*0.25+8.43*0.9*2+0.25*0.15*2+16.8*0.4*2+0.29*1.05*2+1.5*0.4*2+35.98*0.1*2+18.6*0.15*2+0.7*0.15*2+14.9*0.4*2,0)</f>
        <v>59</v>
      </c>
      <c r="F433" s="28"/>
      <c r="G433" s="29" t="s">
        <v>21</v>
      </c>
      <c r="H433" s="38"/>
      <c r="I433" s="32"/>
    </row>
    <row r="434" spans="1:9" x14ac:dyDescent="0.25">
      <c r="A434" s="1"/>
      <c r="B434" s="9"/>
      <c r="C434" s="37"/>
      <c r="D434" s="27"/>
      <c r="E434" s="30"/>
      <c r="F434" s="28"/>
      <c r="G434" s="29"/>
      <c r="H434" s="38"/>
      <c r="I434" s="32"/>
    </row>
    <row r="435" spans="1:9" x14ac:dyDescent="0.25">
      <c r="A435" s="1"/>
      <c r="B435" s="9"/>
      <c r="C435" s="37" t="s">
        <v>270</v>
      </c>
      <c r="D435" s="27"/>
      <c r="E435" s="151">
        <f>ROUND(16.11*1.05+7*0.4*2+1.5*0.2+8.43*0.95*2+0.25*0.15*2+16.8*0.4*2+0.29*0.9*2+1.5*0.4*2+35.98*0.1*2+18.6*0.15*2+0.7*0.15*2+14.9*0.4*2,0)</f>
        <v>79</v>
      </c>
      <c r="F435" s="28"/>
      <c r="G435" s="29" t="s">
        <v>21</v>
      </c>
      <c r="H435" s="38"/>
      <c r="I435" s="32"/>
    </row>
    <row r="436" spans="1:9" x14ac:dyDescent="0.25">
      <c r="A436" s="1"/>
      <c r="B436" s="9"/>
      <c r="C436" s="37"/>
      <c r="D436" s="27"/>
      <c r="E436" s="151"/>
      <c r="F436" s="28"/>
      <c r="G436" s="29"/>
      <c r="H436" s="38"/>
      <c r="I436" s="32"/>
    </row>
    <row r="437" spans="1:9" x14ac:dyDescent="0.25">
      <c r="A437" s="1"/>
      <c r="B437" s="9"/>
      <c r="C437" s="37" t="s">
        <v>376</v>
      </c>
      <c r="D437" s="27"/>
      <c r="E437" s="151">
        <f>ROUND(173.46+10.99,0)</f>
        <v>184</v>
      </c>
      <c r="F437" s="28"/>
      <c r="G437" s="29" t="s">
        <v>21</v>
      </c>
      <c r="H437" s="38"/>
      <c r="I437" s="32"/>
    </row>
    <row r="438" spans="1:9" x14ac:dyDescent="0.25">
      <c r="A438" s="1"/>
      <c r="B438" s="9"/>
      <c r="C438" s="37"/>
      <c r="D438" s="27"/>
      <c r="E438" s="151"/>
      <c r="F438" s="28"/>
      <c r="G438" s="29"/>
      <c r="H438" s="38"/>
      <c r="I438" s="32"/>
    </row>
    <row r="439" spans="1:9" ht="28.5" x14ac:dyDescent="0.25">
      <c r="A439" s="1"/>
      <c r="B439" s="9"/>
      <c r="C439" s="37" t="s">
        <v>377</v>
      </c>
      <c r="D439" s="27"/>
      <c r="E439" s="151">
        <f>ROUND(24.36*(76.1-72.1-0.2),0)</f>
        <v>93</v>
      </c>
      <c r="F439" s="28"/>
      <c r="G439" s="29" t="s">
        <v>21</v>
      </c>
      <c r="H439" s="38"/>
      <c r="I439" s="32"/>
    </row>
    <row r="440" spans="1:9" x14ac:dyDescent="0.25">
      <c r="A440" s="1"/>
      <c r="B440" s="9"/>
      <c r="C440" s="37"/>
      <c r="D440" s="27"/>
      <c r="E440" s="151"/>
      <c r="F440" s="28"/>
      <c r="G440" s="29"/>
      <c r="H440" s="38"/>
      <c r="I440" s="32"/>
    </row>
    <row r="441" spans="1:9" x14ac:dyDescent="0.25">
      <c r="A441" s="1"/>
      <c r="B441" s="9"/>
      <c r="C441" s="37" t="s">
        <v>378</v>
      </c>
      <c r="D441" s="27"/>
      <c r="E441" s="151">
        <f>ROUND(13.33*1.45*4-8.5*1.45+3.5*4,0)</f>
        <v>79</v>
      </c>
      <c r="F441" s="28"/>
      <c r="G441" s="29" t="s">
        <v>21</v>
      </c>
      <c r="H441" s="38"/>
      <c r="I441" s="32"/>
    </row>
    <row r="442" spans="1:9" x14ac:dyDescent="0.25">
      <c r="A442" s="1"/>
      <c r="B442" s="9"/>
      <c r="C442" s="37"/>
      <c r="D442" s="27"/>
      <c r="E442" s="151"/>
      <c r="F442" s="28"/>
      <c r="G442" s="29"/>
      <c r="H442" s="38"/>
      <c r="I442" s="32"/>
    </row>
    <row r="443" spans="1:9" x14ac:dyDescent="0.25">
      <c r="A443" s="1"/>
      <c r="B443" s="9"/>
      <c r="C443" s="156" t="s">
        <v>348</v>
      </c>
      <c r="D443" s="153"/>
      <c r="E443" s="151">
        <f>ROUND(16.6*0.35+5.9*0.4*2+0.72*1.25*2,0)</f>
        <v>12</v>
      </c>
      <c r="F443" s="154"/>
      <c r="G443" s="155" t="s">
        <v>21</v>
      </c>
      <c r="H443" s="38"/>
      <c r="I443" s="32"/>
    </row>
    <row r="444" spans="1:9" x14ac:dyDescent="0.25">
      <c r="A444" s="1"/>
      <c r="B444" s="9"/>
      <c r="C444" s="37"/>
      <c r="D444" s="27"/>
      <c r="E444" s="151"/>
      <c r="F444" s="28"/>
      <c r="G444" s="29"/>
      <c r="H444" s="38"/>
      <c r="I444" s="32"/>
    </row>
    <row r="445" spans="1:9" x14ac:dyDescent="0.25">
      <c r="A445" s="1"/>
      <c r="B445" s="9"/>
      <c r="C445" s="37" t="s">
        <v>379</v>
      </c>
      <c r="D445" s="27"/>
      <c r="E445" s="151">
        <f>ROUND(11.7*0.35+5.9*0.4*2+0.75*1.25*2,0)</f>
        <v>11</v>
      </c>
      <c r="F445" s="28"/>
      <c r="G445" s="29" t="s">
        <v>20</v>
      </c>
      <c r="H445" s="38"/>
      <c r="I445" s="32"/>
    </row>
    <row r="446" spans="1:9" x14ac:dyDescent="0.25">
      <c r="A446" s="1"/>
      <c r="B446" s="9"/>
      <c r="C446" s="152"/>
      <c r="D446" s="153"/>
      <c r="E446" s="151"/>
      <c r="F446" s="154"/>
      <c r="G446" s="155"/>
      <c r="H446" s="38"/>
      <c r="I446" s="32"/>
    </row>
    <row r="447" spans="1:9" x14ac:dyDescent="0.25">
      <c r="A447" s="1"/>
      <c r="B447" s="9"/>
      <c r="C447" s="37" t="s">
        <v>275</v>
      </c>
      <c r="D447" s="27"/>
      <c r="E447" s="151">
        <f>ROUND(28.4*(76.1-72.1-0.2)-(5.3*4),0)</f>
        <v>87</v>
      </c>
      <c r="F447" s="28"/>
      <c r="G447" s="155" t="s">
        <v>21</v>
      </c>
      <c r="H447" s="38"/>
      <c r="I447" s="32"/>
    </row>
    <row r="448" spans="1:9" x14ac:dyDescent="0.25">
      <c r="A448" s="1"/>
      <c r="B448" s="9"/>
      <c r="C448" s="37"/>
      <c r="D448" s="27"/>
      <c r="E448" s="151"/>
      <c r="F448" s="28"/>
      <c r="G448" s="155"/>
      <c r="H448" s="38"/>
      <c r="I448" s="32"/>
    </row>
    <row r="449" spans="1:9" x14ac:dyDescent="0.25">
      <c r="A449" s="1"/>
      <c r="B449" s="9"/>
      <c r="C449" s="37" t="s">
        <v>276</v>
      </c>
      <c r="D449" s="27"/>
      <c r="E449" s="151">
        <f>ROUND(16.11*0.2-8.5*0.2+7*0.25+8.43*0.9*2+0.25*0.15*2+16.8*0.4*2+0.29*1.05*2+1.5*0.4*2+35.98*0.1*2+18.6*0.15*2+0.7*0.15*2+14.9*0.4*2,0)</f>
        <v>59</v>
      </c>
      <c r="F449" s="28"/>
      <c r="G449" s="29" t="s">
        <v>21</v>
      </c>
      <c r="H449" s="38"/>
      <c r="I449" s="32"/>
    </row>
    <row r="450" spans="1:9" x14ac:dyDescent="0.25">
      <c r="A450" s="1"/>
      <c r="B450" s="9"/>
      <c r="C450" s="37"/>
      <c r="D450" s="27"/>
      <c r="E450" s="30"/>
      <c r="F450" s="28"/>
      <c r="G450" s="29"/>
      <c r="H450" s="38"/>
      <c r="I450" s="32"/>
    </row>
    <row r="451" spans="1:9" x14ac:dyDescent="0.25">
      <c r="A451" s="1"/>
      <c r="B451" s="9"/>
      <c r="C451" s="37" t="s">
        <v>277</v>
      </c>
      <c r="D451" s="27"/>
      <c r="E451" s="151">
        <f>ROUND(16.11*1.05+7*0.4*2+1.5*0.2+8.43*0.95*2+0.25*0.15*2+16.8*0.4*2+0.29*0.9*2+1.5*0.4*2+35.98*0.1*2+18.6*0.15*2+0.7*0.15*2+14.9*0.4*2,0)</f>
        <v>79</v>
      </c>
      <c r="F451" s="28"/>
      <c r="G451" s="29" t="s">
        <v>21</v>
      </c>
      <c r="H451" s="38"/>
      <c r="I451" s="32"/>
    </row>
    <row r="452" spans="1:9" x14ac:dyDescent="0.25">
      <c r="A452" s="1"/>
      <c r="B452" s="9"/>
      <c r="C452" s="37"/>
      <c r="D452" s="27"/>
      <c r="E452" s="151"/>
      <c r="F452" s="28"/>
      <c r="G452" s="29"/>
      <c r="H452" s="38"/>
      <c r="I452" s="32"/>
    </row>
    <row r="453" spans="1:9" x14ac:dyDescent="0.25">
      <c r="A453" s="1"/>
      <c r="B453" s="9"/>
      <c r="C453" s="37" t="s">
        <v>380</v>
      </c>
      <c r="D453" s="27"/>
      <c r="E453" s="151">
        <f>ROUND(173.46+10.99,0)</f>
        <v>184</v>
      </c>
      <c r="F453" s="28"/>
      <c r="G453" s="29" t="s">
        <v>21</v>
      </c>
      <c r="H453" s="38"/>
      <c r="I453" s="32"/>
    </row>
    <row r="454" spans="1:9" x14ac:dyDescent="0.25">
      <c r="A454" s="1"/>
      <c r="B454" s="9"/>
      <c r="C454" s="37"/>
      <c r="D454" s="27"/>
      <c r="E454" s="151"/>
      <c r="F454" s="28"/>
      <c r="G454" s="29"/>
      <c r="H454" s="38"/>
      <c r="I454" s="32"/>
    </row>
    <row r="455" spans="1:9" ht="28.5" x14ac:dyDescent="0.25">
      <c r="A455" s="1"/>
      <c r="B455" s="9"/>
      <c r="C455" s="37" t="s">
        <v>381</v>
      </c>
      <c r="D455" s="27"/>
      <c r="E455" s="151">
        <f>ROUND(24.36*(76.1-72.1-0.2),0)</f>
        <v>93</v>
      </c>
      <c r="F455" s="28"/>
      <c r="G455" s="29" t="s">
        <v>21</v>
      </c>
      <c r="H455" s="38"/>
      <c r="I455" s="32"/>
    </row>
    <row r="456" spans="1:9" x14ac:dyDescent="0.25">
      <c r="A456" s="1"/>
      <c r="B456" s="9"/>
      <c r="C456" s="37"/>
      <c r="D456" s="27"/>
      <c r="E456" s="151"/>
      <c r="F456" s="28"/>
      <c r="G456" s="29"/>
      <c r="H456" s="38"/>
      <c r="I456" s="32"/>
    </row>
    <row r="457" spans="1:9" x14ac:dyDescent="0.25">
      <c r="A457" s="1"/>
      <c r="B457" s="9"/>
      <c r="C457" s="37" t="s">
        <v>382</v>
      </c>
      <c r="D457" s="27"/>
      <c r="E457" s="151">
        <f>ROUND(13.33*1.45*4-8.5*1.45+3.5*4,0)</f>
        <v>79</v>
      </c>
      <c r="F457" s="28"/>
      <c r="G457" s="29" t="s">
        <v>21</v>
      </c>
      <c r="H457" s="38"/>
      <c r="I457" s="32"/>
    </row>
    <row r="458" spans="1:9" x14ac:dyDescent="0.25">
      <c r="A458" s="1"/>
      <c r="B458" s="9"/>
      <c r="C458" s="37"/>
      <c r="D458" s="27"/>
      <c r="E458" s="151"/>
      <c r="F458" s="28"/>
      <c r="G458" s="29"/>
      <c r="H458" s="38"/>
      <c r="I458" s="32"/>
    </row>
    <row r="459" spans="1:9" x14ac:dyDescent="0.25">
      <c r="A459" s="1"/>
      <c r="B459" s="9"/>
      <c r="C459" s="156" t="s">
        <v>349</v>
      </c>
      <c r="D459" s="153"/>
      <c r="E459" s="151">
        <f>ROUND(16.6*0.35+5.9*0.4*2+0.72*1.25*2,0)</f>
        <v>12</v>
      </c>
      <c r="F459" s="154"/>
      <c r="G459" s="155" t="s">
        <v>21</v>
      </c>
      <c r="H459" s="38"/>
      <c r="I459" s="32"/>
    </row>
    <row r="460" spans="1:9" x14ac:dyDescent="0.25">
      <c r="A460" s="1"/>
      <c r="B460" s="9"/>
      <c r="C460" s="37"/>
      <c r="D460" s="27"/>
      <c r="E460" s="151"/>
      <c r="F460" s="28"/>
      <c r="G460" s="29"/>
      <c r="H460" s="38"/>
      <c r="I460" s="32"/>
    </row>
    <row r="461" spans="1:9" x14ac:dyDescent="0.25">
      <c r="A461" s="1"/>
      <c r="B461" s="9"/>
      <c r="C461" s="37" t="s">
        <v>383</v>
      </c>
      <c r="D461" s="27"/>
      <c r="E461" s="151">
        <f>ROUND(11.7*0.35+5.9*0.4*2+0.75*1.25*2,0)</f>
        <v>11</v>
      </c>
      <c r="F461" s="28"/>
      <c r="G461" s="29" t="s">
        <v>20</v>
      </c>
      <c r="H461" s="38"/>
      <c r="I461" s="32"/>
    </row>
    <row r="462" spans="1:9" x14ac:dyDescent="0.25">
      <c r="A462" s="1"/>
      <c r="B462" s="9"/>
      <c r="C462" s="152"/>
      <c r="D462" s="153"/>
      <c r="E462" s="151"/>
      <c r="F462" s="154"/>
      <c r="G462" s="155"/>
      <c r="H462" s="38"/>
      <c r="I462" s="32"/>
    </row>
    <row r="463" spans="1:9" x14ac:dyDescent="0.25">
      <c r="A463" s="1"/>
      <c r="B463" s="9"/>
      <c r="C463" s="37" t="s">
        <v>281</v>
      </c>
      <c r="D463" s="27"/>
      <c r="E463" s="151">
        <f>ROUND(28.4*(76.1-72.1-0.2)-(5.3*4),0)</f>
        <v>87</v>
      </c>
      <c r="F463" s="28"/>
      <c r="G463" s="155" t="s">
        <v>21</v>
      </c>
      <c r="H463" s="38"/>
      <c r="I463" s="32"/>
    </row>
    <row r="464" spans="1:9" x14ac:dyDescent="0.25">
      <c r="A464" s="1"/>
      <c r="B464" s="9"/>
      <c r="C464" s="37"/>
      <c r="D464" s="27"/>
      <c r="E464" s="151"/>
      <c r="F464" s="28"/>
      <c r="G464" s="155"/>
      <c r="H464" s="38"/>
      <c r="I464" s="32"/>
    </row>
    <row r="465" spans="1:9" x14ac:dyDescent="0.25">
      <c r="A465" s="1"/>
      <c r="B465" s="9"/>
      <c r="C465" s="37" t="s">
        <v>282</v>
      </c>
      <c r="D465" s="27"/>
      <c r="E465" s="151">
        <f>ROUND(16.11*0.2-8.5*0.2+7*0.25+8.43*0.9*2+0.25*0.15*2+16.8*0.4*2+0.29*1.05*2+1.5*0.4*2+35.98*0.1*2+18.6*0.15*2+0.7*0.15*2+14.9*0.4*2,0)</f>
        <v>59</v>
      </c>
      <c r="F465" s="28"/>
      <c r="G465" s="29" t="s">
        <v>21</v>
      </c>
      <c r="H465" s="38"/>
      <c r="I465" s="32"/>
    </row>
    <row r="466" spans="1:9" x14ac:dyDescent="0.25">
      <c r="A466" s="1"/>
      <c r="B466" s="9"/>
      <c r="C466" s="37"/>
      <c r="D466" s="27"/>
      <c r="E466" s="30"/>
      <c r="F466" s="28"/>
      <c r="G466" s="29"/>
      <c r="H466" s="38"/>
      <c r="I466" s="32"/>
    </row>
    <row r="467" spans="1:9" x14ac:dyDescent="0.25">
      <c r="A467" s="1"/>
      <c r="B467" s="9"/>
      <c r="C467" s="37" t="s">
        <v>283</v>
      </c>
      <c r="D467" s="27"/>
      <c r="E467" s="151">
        <f>ROUND(16.11*1.05+7*0.4*2+1.5*0.2+8.43*0.95*2+0.25*0.15*2+16.8*0.4*2+0.29*0.9*2+1.5*0.4*2+35.98*0.1*2+18.6*0.15*2+0.7*0.15*2+14.9*0.4*2+7.1*0.25*2+7.45*0.3*2,0)</f>
        <v>87</v>
      </c>
      <c r="F467" s="28"/>
      <c r="G467" s="29" t="s">
        <v>21</v>
      </c>
      <c r="H467" s="38"/>
      <c r="I467" s="32"/>
    </row>
    <row r="468" spans="1:9" x14ac:dyDescent="0.25">
      <c r="A468" s="1"/>
      <c r="B468" s="9"/>
      <c r="C468" s="37"/>
      <c r="D468" s="27"/>
      <c r="E468" s="151"/>
      <c r="F468" s="28"/>
      <c r="G468" s="29"/>
      <c r="H468" s="38"/>
      <c r="I468" s="32"/>
    </row>
    <row r="469" spans="1:9" x14ac:dyDescent="0.25">
      <c r="A469" s="1"/>
      <c r="B469" s="9"/>
      <c r="C469" s="37" t="s">
        <v>384</v>
      </c>
      <c r="D469" s="27"/>
      <c r="E469" s="151">
        <f>ROUND(173.46+10.99-7.1,0)</f>
        <v>177</v>
      </c>
      <c r="F469" s="28"/>
      <c r="G469" s="29" t="s">
        <v>21</v>
      </c>
      <c r="H469" s="38"/>
      <c r="I469" s="32"/>
    </row>
    <row r="470" spans="1:9" x14ac:dyDescent="0.25">
      <c r="A470" s="1"/>
      <c r="B470" s="9"/>
      <c r="C470" s="37"/>
      <c r="D470" s="27"/>
      <c r="E470" s="151"/>
      <c r="F470" s="28"/>
      <c r="G470" s="29"/>
      <c r="H470" s="38"/>
      <c r="I470" s="32"/>
    </row>
    <row r="471" spans="1:9" ht="28.5" x14ac:dyDescent="0.25">
      <c r="A471" s="1"/>
      <c r="B471" s="9"/>
      <c r="C471" s="37" t="s">
        <v>385</v>
      </c>
      <c r="D471" s="27"/>
      <c r="E471" s="151">
        <f>ROUND(24.36*(76.1-72.1-0.2),0)</f>
        <v>93</v>
      </c>
      <c r="F471" s="28"/>
      <c r="G471" s="29" t="s">
        <v>21</v>
      </c>
      <c r="H471" s="38"/>
      <c r="I471" s="32"/>
    </row>
    <row r="472" spans="1:9" x14ac:dyDescent="0.25">
      <c r="A472" s="1"/>
      <c r="B472" s="9"/>
      <c r="C472" s="37"/>
      <c r="D472" s="27"/>
      <c r="E472" s="151"/>
      <c r="F472" s="28"/>
      <c r="G472" s="29"/>
      <c r="H472" s="38"/>
      <c r="I472" s="32"/>
    </row>
    <row r="473" spans="1:9" x14ac:dyDescent="0.25">
      <c r="A473" s="1"/>
      <c r="B473" s="9"/>
      <c r="C473" s="37" t="s">
        <v>386</v>
      </c>
      <c r="D473" s="27"/>
      <c r="E473" s="151">
        <f>ROUND(13.33*1.45*4-8.5*1.45+3.5*4,0)</f>
        <v>79</v>
      </c>
      <c r="F473" s="28"/>
      <c r="G473" s="29" t="s">
        <v>21</v>
      </c>
      <c r="H473" s="38"/>
      <c r="I473" s="32"/>
    </row>
    <row r="474" spans="1:9" x14ac:dyDescent="0.25">
      <c r="A474" s="1"/>
      <c r="B474" s="9"/>
      <c r="C474" s="37"/>
      <c r="D474" s="27"/>
      <c r="E474" s="151"/>
      <c r="F474" s="28"/>
      <c r="G474" s="29"/>
      <c r="H474" s="38"/>
      <c r="I474" s="32"/>
    </row>
    <row r="475" spans="1:9" x14ac:dyDescent="0.25">
      <c r="A475" s="1"/>
      <c r="B475" s="9"/>
      <c r="C475" s="156" t="s">
        <v>350</v>
      </c>
      <c r="D475" s="153"/>
      <c r="E475" s="151">
        <f>ROUND(16.6*0.35+5.9*0.4*2+0.72*1.25*2,0)</f>
        <v>12</v>
      </c>
      <c r="F475" s="154"/>
      <c r="G475" s="155" t="s">
        <v>21</v>
      </c>
      <c r="H475" s="38"/>
      <c r="I475" s="32"/>
    </row>
    <row r="476" spans="1:9" x14ac:dyDescent="0.25">
      <c r="A476" s="1"/>
      <c r="B476" s="9"/>
      <c r="C476" s="37"/>
      <c r="D476" s="27"/>
      <c r="E476" s="151"/>
      <c r="F476" s="28"/>
      <c r="G476" s="29"/>
      <c r="H476" s="38"/>
      <c r="I476" s="32"/>
    </row>
    <row r="477" spans="1:9" x14ac:dyDescent="0.25">
      <c r="A477" s="1"/>
      <c r="B477" s="9"/>
      <c r="C477" s="37" t="s">
        <v>387</v>
      </c>
      <c r="D477" s="27"/>
      <c r="E477" s="151">
        <f>ROUND(11.7*0.35+5.9*0.4*2+0.75*1.25*2,0)</f>
        <v>11</v>
      </c>
      <c r="F477" s="28"/>
      <c r="G477" s="29" t="s">
        <v>20</v>
      </c>
      <c r="H477" s="38"/>
      <c r="I477" s="32"/>
    </row>
    <row r="478" spans="1:9" x14ac:dyDescent="0.25">
      <c r="A478" s="1"/>
      <c r="B478" s="9"/>
      <c r="C478" s="152"/>
      <c r="D478" s="153"/>
      <c r="E478" s="151"/>
      <c r="F478" s="154"/>
      <c r="G478" s="155"/>
      <c r="H478" s="38"/>
      <c r="I478" s="32"/>
    </row>
    <row r="479" spans="1:9" x14ac:dyDescent="0.25">
      <c r="A479" s="1"/>
      <c r="B479" s="9"/>
      <c r="C479" s="37" t="s">
        <v>288</v>
      </c>
      <c r="D479" s="153"/>
      <c r="E479" s="151">
        <f>ROUND(28.36*(88.1-84.1-0.2)-(4.78*4),0)</f>
        <v>89</v>
      </c>
      <c r="F479" s="28"/>
      <c r="G479" s="29" t="s">
        <v>21</v>
      </c>
      <c r="H479" s="38"/>
      <c r="I479" s="32"/>
    </row>
    <row r="480" spans="1:9" x14ac:dyDescent="0.25">
      <c r="A480" s="1"/>
      <c r="B480" s="9"/>
      <c r="C480" s="37"/>
      <c r="D480" s="153"/>
      <c r="E480" s="151"/>
      <c r="F480" s="154"/>
      <c r="G480" s="155"/>
      <c r="H480" s="38"/>
      <c r="I480" s="32"/>
    </row>
    <row r="481" spans="1:9" x14ac:dyDescent="0.25">
      <c r="A481" s="1"/>
      <c r="B481" s="9"/>
      <c r="C481" s="37" t="s">
        <v>289</v>
      </c>
      <c r="D481" s="153"/>
      <c r="E481" s="151">
        <f>ROUND(16.11*0.2-8.5*0.2+8.43*0.3+0.25*0.3+4.9*0.3+35.98*0.3+12.6*0.3+0.29*0.4+2.15*0.4+16.6*0.5+1.5*0.5+0.7*0.8+14.9*0.8,0)</f>
        <v>43</v>
      </c>
      <c r="F481" s="28"/>
      <c r="G481" s="29" t="s">
        <v>21</v>
      </c>
      <c r="H481" s="38"/>
      <c r="I481" s="32"/>
    </row>
    <row r="482" spans="1:9" x14ac:dyDescent="0.25">
      <c r="A482" s="1"/>
      <c r="B482" s="9"/>
      <c r="C482" s="37"/>
      <c r="D482" s="153"/>
      <c r="E482" s="151"/>
      <c r="F482" s="154"/>
      <c r="G482" s="155"/>
      <c r="H482" s="38"/>
      <c r="I482" s="32"/>
    </row>
    <row r="483" spans="1:9" x14ac:dyDescent="0.25">
      <c r="A483" s="1"/>
      <c r="B483" s="9"/>
      <c r="C483" s="37" t="s">
        <v>290</v>
      </c>
      <c r="D483" s="153"/>
      <c r="E483" s="151">
        <f>ROUND(16.11*0.9*2+7*0.4*2+1.5*0.2+8.43*0.9*2+0.25*0.15*2+4.9*0.25*2+35.98*0.4*2+12.6*0.4*2+0.29*0.9*2+2.15*0.35*2+16.6*0.25*2+1.5*0.4*2+0.7*0.15*2+14.9*0.4*6.1*0.4,0)</f>
        <v>118</v>
      </c>
      <c r="F483" s="28"/>
      <c r="G483" s="29" t="s">
        <v>21</v>
      </c>
      <c r="H483" s="38"/>
      <c r="I483" s="32"/>
    </row>
    <row r="484" spans="1:9" x14ac:dyDescent="0.25">
      <c r="A484" s="1"/>
      <c r="B484" s="9"/>
      <c r="C484" s="37"/>
      <c r="D484" s="153"/>
      <c r="E484" s="151"/>
      <c r="F484" s="154"/>
      <c r="G484" s="155"/>
      <c r="H484" s="38"/>
      <c r="I484" s="32"/>
    </row>
    <row r="485" spans="1:9" x14ac:dyDescent="0.25">
      <c r="A485" s="1"/>
      <c r="B485" s="9"/>
      <c r="C485" s="37" t="s">
        <v>388</v>
      </c>
      <c r="D485" s="153"/>
      <c r="E485" s="151">
        <f>ROUND(12.22+115.76,0)</f>
        <v>128</v>
      </c>
      <c r="F485" s="28"/>
      <c r="G485" s="29" t="s">
        <v>21</v>
      </c>
      <c r="H485" s="38"/>
      <c r="I485" s="32"/>
    </row>
    <row r="486" spans="1:9" x14ac:dyDescent="0.25">
      <c r="A486" s="1"/>
      <c r="B486" s="9"/>
      <c r="C486" s="37"/>
      <c r="D486" s="153"/>
      <c r="E486" s="151"/>
      <c r="F486" s="154"/>
      <c r="G486" s="155"/>
      <c r="H486" s="38"/>
      <c r="I486" s="32"/>
    </row>
    <row r="487" spans="1:9" ht="28.5" x14ac:dyDescent="0.25">
      <c r="A487" s="1"/>
      <c r="B487" s="9"/>
      <c r="C487" s="37" t="s">
        <v>389</v>
      </c>
      <c r="D487" s="153"/>
      <c r="E487" s="151">
        <f>ROUND(24.36*(88.1-84.1-0.2),0)</f>
        <v>93</v>
      </c>
      <c r="F487" s="28"/>
      <c r="G487" s="29" t="s">
        <v>21</v>
      </c>
      <c r="H487" s="38"/>
      <c r="I487" s="32"/>
    </row>
    <row r="488" spans="1:9" x14ac:dyDescent="0.25">
      <c r="A488" s="1"/>
      <c r="B488" s="9"/>
      <c r="C488" s="37"/>
      <c r="D488" s="153"/>
      <c r="E488" s="151"/>
      <c r="F488" s="154"/>
      <c r="G488" s="155"/>
      <c r="H488" s="38"/>
      <c r="I488" s="32"/>
    </row>
    <row r="489" spans="1:9" x14ac:dyDescent="0.25">
      <c r="A489" s="1"/>
      <c r="B489" s="9"/>
      <c r="C489" s="37" t="s">
        <v>390</v>
      </c>
      <c r="D489" s="153"/>
      <c r="E489" s="151">
        <f>ROUND(13.33*1.45*4-8.5*1.45+3.5*4,0+2.93*1.3)+1</f>
        <v>79.989000000000004</v>
      </c>
      <c r="F489" s="28"/>
      <c r="G489" s="29" t="s">
        <v>21</v>
      </c>
      <c r="H489" s="38"/>
      <c r="I489" s="32"/>
    </row>
    <row r="490" spans="1:9" x14ac:dyDescent="0.25">
      <c r="A490" s="1"/>
      <c r="B490" s="9"/>
      <c r="C490" s="37"/>
      <c r="D490" s="153"/>
      <c r="E490" s="151"/>
      <c r="F490" s="154"/>
      <c r="G490" s="155"/>
      <c r="H490" s="38"/>
      <c r="I490" s="32"/>
    </row>
    <row r="491" spans="1:9" x14ac:dyDescent="0.25">
      <c r="A491" s="1"/>
      <c r="B491" s="9"/>
      <c r="C491" s="156" t="s">
        <v>351</v>
      </c>
      <c r="D491" s="153"/>
      <c r="E491" s="151">
        <f>ROUND(0.8*1.2*2+34.65*0.25*2+34.65*0.2+3*0.35*2,0)</f>
        <v>28</v>
      </c>
      <c r="F491" s="28"/>
      <c r="G491" s="29" t="s">
        <v>21</v>
      </c>
      <c r="H491" s="38"/>
      <c r="I491" s="32"/>
    </row>
    <row r="492" spans="1:9" x14ac:dyDescent="0.25">
      <c r="A492" s="1"/>
      <c r="B492" s="9"/>
      <c r="C492" s="37"/>
      <c r="D492" s="153"/>
      <c r="E492" s="151"/>
      <c r="F492" s="154"/>
      <c r="G492" s="155"/>
      <c r="H492" s="38"/>
      <c r="I492" s="32"/>
    </row>
    <row r="493" spans="1:9" x14ac:dyDescent="0.25">
      <c r="A493" s="1"/>
      <c r="B493" s="9"/>
      <c r="C493" s="37" t="s">
        <v>391</v>
      </c>
      <c r="D493" s="153"/>
      <c r="E493" s="151">
        <f>ROUND(8.88,0)</f>
        <v>9</v>
      </c>
      <c r="F493" s="28"/>
      <c r="G493" s="29" t="s">
        <v>21</v>
      </c>
      <c r="H493" s="38"/>
      <c r="I493" s="32"/>
    </row>
    <row r="494" spans="1:9" x14ac:dyDescent="0.25">
      <c r="A494" s="1"/>
      <c r="B494" s="9"/>
      <c r="C494" s="152"/>
      <c r="D494" s="153"/>
      <c r="E494" s="151"/>
      <c r="F494" s="154"/>
      <c r="G494" s="155"/>
      <c r="H494" s="38"/>
      <c r="I494" s="32"/>
    </row>
    <row r="495" spans="1:9" x14ac:dyDescent="0.25">
      <c r="A495" s="1"/>
      <c r="B495" s="9"/>
      <c r="C495" s="152" t="s">
        <v>392</v>
      </c>
      <c r="D495" s="153"/>
      <c r="E495" s="151">
        <f>ROUND(9.09,0)</f>
        <v>9</v>
      </c>
      <c r="F495" s="28"/>
      <c r="G495" s="29" t="s">
        <v>20</v>
      </c>
      <c r="H495" s="38"/>
      <c r="I495" s="32"/>
    </row>
    <row r="496" spans="1:9" x14ac:dyDescent="0.25">
      <c r="A496" s="1"/>
      <c r="B496" s="9"/>
      <c r="C496" s="152"/>
      <c r="D496" s="153"/>
      <c r="E496" s="151"/>
      <c r="F496" s="154"/>
      <c r="G496" s="155"/>
      <c r="H496" s="38"/>
      <c r="I496" s="32"/>
    </row>
    <row r="497" spans="1:9" x14ac:dyDescent="0.25">
      <c r="A497" s="1"/>
      <c r="B497" s="9"/>
      <c r="C497" s="152" t="s">
        <v>393</v>
      </c>
      <c r="D497" s="153"/>
      <c r="E497" s="151">
        <f>ROUND(6.65*2,0)</f>
        <v>13</v>
      </c>
      <c r="F497" s="28"/>
      <c r="G497" s="29" t="s">
        <v>20</v>
      </c>
      <c r="H497" s="38"/>
      <c r="I497" s="32"/>
    </row>
    <row r="498" spans="1:9" x14ac:dyDescent="0.25">
      <c r="A498" s="1"/>
      <c r="B498" s="9"/>
      <c r="C498" s="152"/>
      <c r="D498" s="153"/>
      <c r="E498" s="151"/>
      <c r="F498" s="154"/>
      <c r="G498" s="155"/>
      <c r="H498" s="38"/>
      <c r="I498" s="32"/>
    </row>
    <row r="499" spans="1:9" x14ac:dyDescent="0.25">
      <c r="A499" s="1"/>
      <c r="B499" s="9"/>
      <c r="C499" s="152" t="s">
        <v>394</v>
      </c>
      <c r="D499" s="153"/>
      <c r="E499" s="151">
        <f>ROUND(16.6,0)</f>
        <v>17</v>
      </c>
      <c r="F499" s="28"/>
      <c r="G499" s="29" t="s">
        <v>20</v>
      </c>
      <c r="H499" s="38"/>
      <c r="I499" s="32"/>
    </row>
    <row r="500" spans="1:9" x14ac:dyDescent="0.25">
      <c r="A500" s="1"/>
      <c r="B500" s="9"/>
      <c r="C500" s="152"/>
      <c r="D500" s="153"/>
      <c r="E500" s="151"/>
      <c r="F500" s="154"/>
      <c r="G500" s="155"/>
      <c r="H500" s="38"/>
      <c r="I500" s="32"/>
    </row>
    <row r="501" spans="1:9" ht="28.5" x14ac:dyDescent="0.25">
      <c r="A501" s="1"/>
      <c r="B501" s="9"/>
      <c r="C501" s="152" t="s">
        <v>395</v>
      </c>
      <c r="D501" s="153"/>
      <c r="E501" s="151">
        <f>ROUND(5.3,0)</f>
        <v>5</v>
      </c>
      <c r="F501" s="28"/>
      <c r="G501" s="29" t="s">
        <v>20</v>
      </c>
      <c r="H501" s="38"/>
      <c r="I501" s="32"/>
    </row>
    <row r="502" spans="1:9" x14ac:dyDescent="0.25">
      <c r="A502" s="1"/>
      <c r="B502" s="9"/>
      <c r="C502" s="152"/>
      <c r="D502" s="153"/>
      <c r="E502" s="151"/>
      <c r="F502" s="154"/>
      <c r="G502" s="155"/>
      <c r="H502" s="38"/>
      <c r="I502" s="32"/>
    </row>
    <row r="503" spans="1:9" ht="28.5" x14ac:dyDescent="0.25">
      <c r="A503" s="1"/>
      <c r="B503" s="9"/>
      <c r="C503" s="152" t="s">
        <v>396</v>
      </c>
      <c r="D503" s="153"/>
      <c r="E503" s="151">
        <f>ROUND(6.65,0)</f>
        <v>7</v>
      </c>
      <c r="F503" s="28"/>
      <c r="G503" s="29" t="s">
        <v>20</v>
      </c>
      <c r="H503" s="38"/>
      <c r="I503" s="32"/>
    </row>
    <row r="504" spans="1:9" x14ac:dyDescent="0.25">
      <c r="A504" s="1"/>
      <c r="B504" s="9"/>
      <c r="C504" s="152"/>
      <c r="D504" s="153"/>
      <c r="E504" s="151"/>
      <c r="F504" s="154"/>
      <c r="G504" s="155"/>
      <c r="H504" s="38"/>
      <c r="I504" s="32"/>
    </row>
    <row r="505" spans="1:9" x14ac:dyDescent="0.25">
      <c r="A505" s="1"/>
      <c r="B505" s="9"/>
      <c r="C505" s="39" t="s">
        <v>296</v>
      </c>
      <c r="D505" s="153"/>
      <c r="E505" s="151">
        <f>ROUND(1.8*0.25+1.7*0.3+2.9*0.3,0)</f>
        <v>2</v>
      </c>
      <c r="F505" s="28"/>
      <c r="G505" s="29" t="s">
        <v>21</v>
      </c>
      <c r="H505" s="38"/>
      <c r="I505" s="32"/>
    </row>
    <row r="506" spans="1:9" x14ac:dyDescent="0.25">
      <c r="A506" s="1"/>
      <c r="B506" s="9"/>
      <c r="C506" s="37"/>
      <c r="D506" s="153"/>
      <c r="E506" s="151"/>
      <c r="F506" s="154"/>
      <c r="G506" s="155"/>
      <c r="H506" s="38"/>
      <c r="I506" s="32"/>
    </row>
    <row r="507" spans="1:9" x14ac:dyDescent="0.25">
      <c r="A507" s="1"/>
      <c r="B507" s="9"/>
      <c r="C507" s="39" t="s">
        <v>297</v>
      </c>
      <c r="D507" s="153"/>
      <c r="E507" s="151">
        <f>ROUND(1.8*0.35*2+1.7*0.45*2+2.9*0.5*2,0)+1</f>
        <v>7</v>
      </c>
      <c r="F507" s="28"/>
      <c r="G507" s="29" t="s">
        <v>21</v>
      </c>
      <c r="H507" s="38"/>
      <c r="I507" s="32"/>
    </row>
    <row r="508" spans="1:9" x14ac:dyDescent="0.25">
      <c r="A508" s="1"/>
      <c r="B508" s="9"/>
      <c r="C508" s="37"/>
      <c r="D508" s="153"/>
      <c r="E508" s="151"/>
      <c r="F508" s="154"/>
      <c r="G508" s="155"/>
      <c r="H508" s="38"/>
      <c r="I508" s="32"/>
    </row>
    <row r="509" spans="1:9" x14ac:dyDescent="0.25">
      <c r="A509" s="1"/>
      <c r="B509" s="9"/>
      <c r="C509" s="37" t="s">
        <v>397</v>
      </c>
      <c r="D509" s="153"/>
      <c r="E509" s="151">
        <f>ROUND(30.35,0)</f>
        <v>30</v>
      </c>
      <c r="F509" s="28"/>
      <c r="G509" s="29" t="s">
        <v>21</v>
      </c>
      <c r="H509" s="38"/>
      <c r="I509" s="32"/>
    </row>
    <row r="510" spans="1:9" x14ac:dyDescent="0.25">
      <c r="A510" s="1"/>
      <c r="B510" s="9"/>
      <c r="C510" s="37"/>
      <c r="D510" s="153"/>
      <c r="E510" s="151"/>
      <c r="F510" s="154"/>
      <c r="G510" s="155"/>
      <c r="H510" s="38"/>
      <c r="I510" s="32"/>
    </row>
    <row r="511" spans="1:9" ht="28.5" x14ac:dyDescent="0.25">
      <c r="A511" s="1"/>
      <c r="B511" s="9"/>
      <c r="C511" s="37" t="s">
        <v>398</v>
      </c>
      <c r="D511" s="153"/>
      <c r="E511" s="151">
        <f>ROUND(12.35*(91.25-88.1),0)+1</f>
        <v>40</v>
      </c>
      <c r="F511" s="28"/>
      <c r="G511" s="29" t="s">
        <v>21</v>
      </c>
      <c r="H511" s="38"/>
      <c r="I511" s="32"/>
    </row>
    <row r="512" spans="1:9" x14ac:dyDescent="0.25">
      <c r="A512" s="1"/>
      <c r="B512" s="9"/>
      <c r="C512" s="37"/>
      <c r="D512" s="153"/>
      <c r="E512" s="151"/>
      <c r="F512" s="154"/>
      <c r="G512" s="155"/>
      <c r="H512" s="38"/>
      <c r="I512" s="32"/>
    </row>
    <row r="513" spans="1:9" x14ac:dyDescent="0.25">
      <c r="A513" s="1"/>
      <c r="B513" s="9"/>
      <c r="C513" s="37" t="s">
        <v>399</v>
      </c>
      <c r="D513" s="153"/>
      <c r="E513" s="151">
        <f>ROUND(43.07*(89.95-88.1)*2,0)</f>
        <v>159</v>
      </c>
      <c r="F513" s="28"/>
      <c r="G513" s="29" t="s">
        <v>21</v>
      </c>
      <c r="H513" s="38"/>
      <c r="I513" s="32"/>
    </row>
    <row r="514" spans="1:9" x14ac:dyDescent="0.25">
      <c r="A514" s="1"/>
      <c r="B514" s="9"/>
      <c r="C514" s="37"/>
      <c r="D514" s="153"/>
      <c r="E514" s="151"/>
      <c r="F514" s="154"/>
      <c r="G514" s="155"/>
      <c r="H514" s="38"/>
      <c r="I514" s="32"/>
    </row>
    <row r="515" spans="1:9" x14ac:dyDescent="0.25">
      <c r="A515" s="1"/>
      <c r="B515" s="9"/>
      <c r="C515" s="39" t="s">
        <v>400</v>
      </c>
      <c r="D515" s="153"/>
      <c r="E515" s="151">
        <f>ROUND(8.8,0)</f>
        <v>9</v>
      </c>
      <c r="F515" s="28"/>
      <c r="G515" s="29" t="s">
        <v>21</v>
      </c>
      <c r="H515" s="38"/>
      <c r="I515" s="32"/>
    </row>
    <row r="516" spans="1:9" x14ac:dyDescent="0.25">
      <c r="A516" s="1"/>
      <c r="B516" s="9"/>
      <c r="C516" s="152"/>
      <c r="D516" s="153"/>
      <c r="E516" s="151"/>
      <c r="F516" s="154"/>
      <c r="G516" s="155"/>
      <c r="H516" s="38"/>
      <c r="I516" s="32"/>
    </row>
    <row r="517" spans="1:9" ht="30" x14ac:dyDescent="0.25">
      <c r="A517" s="1"/>
      <c r="B517" s="9"/>
      <c r="C517" s="45" t="s">
        <v>202</v>
      </c>
      <c r="D517" s="153"/>
      <c r="E517" s="151"/>
      <c r="F517" s="154"/>
      <c r="G517" s="155"/>
      <c r="H517" s="38"/>
      <c r="I517" s="32"/>
    </row>
    <row r="518" spans="1:9" x14ac:dyDescent="0.25">
      <c r="A518" s="1"/>
      <c r="B518" s="9"/>
      <c r="C518" s="152"/>
      <c r="D518" s="153"/>
      <c r="E518" s="151"/>
      <c r="F518" s="154"/>
      <c r="G518" s="155"/>
      <c r="H518" s="38"/>
      <c r="I518" s="32"/>
    </row>
    <row r="519" spans="1:9" ht="28.5" x14ac:dyDescent="0.25">
      <c r="A519" s="1"/>
      <c r="B519" s="9"/>
      <c r="C519" s="152" t="s">
        <v>306</v>
      </c>
      <c r="D519" s="153"/>
      <c r="E519" s="151">
        <f>ROUND(40.45*0.7,0)</f>
        <v>28</v>
      </c>
      <c r="F519" s="154"/>
      <c r="G519" s="155" t="s">
        <v>21</v>
      </c>
      <c r="H519" s="38"/>
      <c r="I519" s="32"/>
    </row>
    <row r="520" spans="1:9" x14ac:dyDescent="0.25">
      <c r="A520" s="1"/>
      <c r="B520" s="9"/>
      <c r="C520" s="152"/>
      <c r="D520" s="153"/>
      <c r="E520" s="151"/>
      <c r="F520" s="154"/>
      <c r="G520" s="155"/>
      <c r="H520" s="38"/>
      <c r="I520" s="32"/>
    </row>
    <row r="521" spans="1:9" ht="28.5" x14ac:dyDescent="0.25">
      <c r="A521" s="1"/>
      <c r="B521" s="9"/>
      <c r="C521" s="152" t="s">
        <v>307</v>
      </c>
      <c r="D521" s="153"/>
      <c r="E521" s="151">
        <f>ROUND(40.45*0.7,0)</f>
        <v>28</v>
      </c>
      <c r="F521" s="154"/>
      <c r="G521" s="155" t="s">
        <v>21</v>
      </c>
      <c r="H521" s="38"/>
      <c r="I521" s="32"/>
    </row>
    <row r="522" spans="1:9" x14ac:dyDescent="0.25">
      <c r="A522" s="1"/>
      <c r="B522" s="9"/>
      <c r="C522" s="152"/>
      <c r="D522" s="153"/>
      <c r="E522" s="151"/>
      <c r="F522" s="154"/>
      <c r="G522" s="155"/>
      <c r="H522" s="38"/>
      <c r="I522" s="32"/>
    </row>
    <row r="523" spans="1:9" ht="28.5" x14ac:dyDescent="0.25">
      <c r="A523" s="1"/>
      <c r="B523" s="9"/>
      <c r="C523" s="152" t="s">
        <v>308</v>
      </c>
      <c r="D523" s="153"/>
      <c r="E523" s="151">
        <f>ROUND(40.45*0.7,0)</f>
        <v>28</v>
      </c>
      <c r="F523" s="154"/>
      <c r="G523" s="155" t="s">
        <v>21</v>
      </c>
      <c r="H523" s="38"/>
      <c r="I523" s="32"/>
    </row>
    <row r="524" spans="1:9" x14ac:dyDescent="0.25">
      <c r="A524" s="1"/>
      <c r="B524" s="9"/>
      <c r="C524" s="152"/>
      <c r="D524" s="153"/>
      <c r="E524" s="151"/>
      <c r="F524" s="154"/>
      <c r="G524" s="155"/>
      <c r="H524" s="38"/>
      <c r="I524" s="32"/>
    </row>
    <row r="525" spans="1:9" ht="28.5" x14ac:dyDescent="0.25">
      <c r="A525" s="1"/>
      <c r="B525" s="9"/>
      <c r="C525" s="152" t="s">
        <v>309</v>
      </c>
      <c r="D525" s="153"/>
      <c r="E525" s="151">
        <f>ROUND(40.45*0.7,0)</f>
        <v>28</v>
      </c>
      <c r="F525" s="154"/>
      <c r="G525" s="155" t="s">
        <v>21</v>
      </c>
      <c r="H525" s="38"/>
      <c r="I525" s="32"/>
    </row>
    <row r="526" spans="1:9" x14ac:dyDescent="0.25">
      <c r="A526" s="1"/>
      <c r="B526" s="9"/>
      <c r="C526" s="152"/>
      <c r="D526" s="153"/>
      <c r="E526" s="151"/>
      <c r="F526" s="154"/>
      <c r="G526" s="155"/>
      <c r="H526" s="38"/>
      <c r="I526" s="32"/>
    </row>
    <row r="527" spans="1:9" ht="28.5" x14ac:dyDescent="0.25">
      <c r="A527" s="1"/>
      <c r="B527" s="9"/>
      <c r="C527" s="152" t="s">
        <v>310</v>
      </c>
      <c r="D527" s="153"/>
      <c r="E527" s="151">
        <f>ROUND(40.45*0.7,0)</f>
        <v>28</v>
      </c>
      <c r="F527" s="154"/>
      <c r="G527" s="155" t="s">
        <v>21</v>
      </c>
      <c r="H527" s="38"/>
      <c r="I527" s="32"/>
    </row>
    <row r="528" spans="1:9" x14ac:dyDescent="0.25">
      <c r="A528" s="1"/>
      <c r="B528" s="9"/>
      <c r="C528" s="152"/>
      <c r="D528" s="153"/>
      <c r="E528" s="151"/>
      <c r="F528" s="154"/>
      <c r="G528" s="155"/>
      <c r="H528" s="38"/>
      <c r="I528" s="32"/>
    </row>
    <row r="529" spans="1:9" ht="28.5" x14ac:dyDescent="0.25">
      <c r="A529" s="1"/>
      <c r="B529" s="9"/>
      <c r="C529" s="152" t="s">
        <v>311</v>
      </c>
      <c r="D529" s="153"/>
      <c r="E529" s="151">
        <f>ROUND(40.45*0.7,0)</f>
        <v>28</v>
      </c>
      <c r="F529" s="154"/>
      <c r="G529" s="155" t="s">
        <v>21</v>
      </c>
      <c r="H529" s="38"/>
      <c r="I529" s="32"/>
    </row>
    <row r="530" spans="1:9" x14ac:dyDescent="0.25">
      <c r="A530" s="1"/>
      <c r="B530" s="9"/>
      <c r="C530" s="152"/>
      <c r="D530" s="153"/>
      <c r="E530" s="151"/>
      <c r="F530" s="154"/>
      <c r="G530" s="155"/>
      <c r="H530" s="38"/>
      <c r="I530" s="32"/>
    </row>
    <row r="531" spans="1:9" ht="28.5" x14ac:dyDescent="0.25">
      <c r="A531" s="1"/>
      <c r="B531" s="9"/>
      <c r="C531" s="152" t="s">
        <v>312</v>
      </c>
      <c r="D531" s="153"/>
      <c r="E531" s="151">
        <f>ROUND(40.9*0.7,0)</f>
        <v>29</v>
      </c>
      <c r="F531" s="154"/>
      <c r="G531" s="155" t="s">
        <v>21</v>
      </c>
      <c r="H531" s="38"/>
      <c r="I531" s="32"/>
    </row>
    <row r="532" spans="1:9" x14ac:dyDescent="0.25">
      <c r="A532" s="1"/>
      <c r="B532" s="9"/>
      <c r="C532" s="152"/>
      <c r="D532" s="153"/>
      <c r="E532" s="151"/>
      <c r="F532" s="154"/>
      <c r="G532" s="155"/>
      <c r="H532" s="38"/>
      <c r="I532" s="32"/>
    </row>
    <row r="533" spans="1:9" ht="28.5" x14ac:dyDescent="0.25">
      <c r="A533" s="1"/>
      <c r="B533" s="9"/>
      <c r="C533" s="152" t="s">
        <v>313</v>
      </c>
      <c r="D533" s="153"/>
      <c r="E533" s="151">
        <f>ROUND(40.9*0.7,0)</f>
        <v>29</v>
      </c>
      <c r="F533" s="154"/>
      <c r="G533" s="155" t="s">
        <v>21</v>
      </c>
      <c r="H533" s="38"/>
      <c r="I533" s="32"/>
    </row>
    <row r="534" spans="1:9" x14ac:dyDescent="0.25">
      <c r="A534" s="1"/>
      <c r="B534" s="9"/>
      <c r="C534" s="152"/>
      <c r="D534" s="153"/>
      <c r="E534" s="151"/>
      <c r="F534" s="154"/>
      <c r="G534" s="155"/>
      <c r="H534" s="38"/>
      <c r="I534" s="32"/>
    </row>
    <row r="535" spans="1:9" ht="28.5" x14ac:dyDescent="0.25">
      <c r="A535" s="1"/>
      <c r="B535" s="9"/>
      <c r="C535" s="152" t="s">
        <v>314</v>
      </c>
      <c r="D535" s="153"/>
      <c r="E535" s="151">
        <f>ROUND(40.9*0.7,0)</f>
        <v>29</v>
      </c>
      <c r="F535" s="154"/>
      <c r="G535" s="155" t="s">
        <v>21</v>
      </c>
      <c r="H535" s="38"/>
      <c r="I535" s="32"/>
    </row>
    <row r="536" spans="1:9" x14ac:dyDescent="0.25">
      <c r="A536" s="1"/>
      <c r="B536" s="9"/>
      <c r="C536" s="152"/>
      <c r="D536" s="153"/>
      <c r="E536" s="151"/>
      <c r="F536" s="154"/>
      <c r="G536" s="155"/>
      <c r="H536" s="38"/>
      <c r="I536" s="32"/>
    </row>
    <row r="537" spans="1:9" ht="28.5" x14ac:dyDescent="0.25">
      <c r="A537" s="1"/>
      <c r="B537" s="9"/>
      <c r="C537" s="152" t="s">
        <v>315</v>
      </c>
      <c r="D537" s="153"/>
      <c r="E537" s="151">
        <f>ROUND(40.9*0.7,0)</f>
        <v>29</v>
      </c>
      <c r="F537" s="154"/>
      <c r="G537" s="155" t="s">
        <v>21</v>
      </c>
      <c r="H537" s="38"/>
      <c r="I537" s="32"/>
    </row>
    <row r="538" spans="1:9" x14ac:dyDescent="0.25">
      <c r="A538" s="1"/>
      <c r="B538" s="9"/>
      <c r="C538" s="152"/>
      <c r="D538" s="153"/>
      <c r="E538" s="151"/>
      <c r="F538" s="154"/>
      <c r="G538" s="155"/>
      <c r="H538" s="38"/>
      <c r="I538" s="32"/>
    </row>
    <row r="539" spans="1:9" ht="28.5" x14ac:dyDescent="0.25">
      <c r="A539" s="1"/>
      <c r="B539" s="9"/>
      <c r="C539" s="152" t="s">
        <v>316</v>
      </c>
      <c r="D539" s="153"/>
      <c r="E539" s="151">
        <f>ROUND(40.9*0.7,0)</f>
        <v>29</v>
      </c>
      <c r="F539" s="154"/>
      <c r="G539" s="155" t="s">
        <v>21</v>
      </c>
      <c r="H539" s="38"/>
      <c r="I539" s="32"/>
    </row>
    <row r="540" spans="1:9" x14ac:dyDescent="0.25">
      <c r="A540" s="1"/>
      <c r="B540" s="9"/>
      <c r="C540" s="152"/>
      <c r="D540" s="153"/>
      <c r="E540" s="151"/>
      <c r="F540" s="154"/>
      <c r="G540" s="155"/>
      <c r="H540" s="38"/>
      <c r="I540" s="32"/>
    </row>
    <row r="541" spans="1:9" ht="28.5" x14ac:dyDescent="0.25">
      <c r="A541" s="1"/>
      <c r="B541" s="9"/>
      <c r="C541" s="152" t="s">
        <v>317</v>
      </c>
      <c r="D541" s="153"/>
      <c r="E541" s="151">
        <f>ROUND(8+8,0)</f>
        <v>16</v>
      </c>
      <c r="F541" s="154"/>
      <c r="G541" s="155" t="s">
        <v>21</v>
      </c>
      <c r="H541" s="38"/>
      <c r="I541" s="32"/>
    </row>
    <row r="542" spans="1:9" x14ac:dyDescent="0.25">
      <c r="A542" s="1"/>
      <c r="B542" s="9"/>
      <c r="C542" s="37"/>
      <c r="D542" s="27"/>
      <c r="E542" s="151"/>
      <c r="F542" s="28"/>
      <c r="G542" s="29"/>
      <c r="H542" s="38"/>
      <c r="I542" s="32"/>
    </row>
    <row r="543" spans="1:9" ht="28.5" x14ac:dyDescent="0.25">
      <c r="A543" s="1"/>
      <c r="B543" s="9"/>
      <c r="C543" s="152" t="s">
        <v>318</v>
      </c>
      <c r="D543" s="153"/>
      <c r="E543" s="151">
        <f>ROUND(8+8,0)</f>
        <v>16</v>
      </c>
      <c r="F543" s="154"/>
      <c r="G543" s="155" t="s">
        <v>21</v>
      </c>
      <c r="H543" s="38"/>
      <c r="I543" s="32"/>
    </row>
    <row r="544" spans="1:9" x14ac:dyDescent="0.25">
      <c r="A544" s="1"/>
      <c r="B544" s="9"/>
      <c r="C544" s="37"/>
      <c r="D544" s="27"/>
      <c r="E544" s="151"/>
      <c r="F544" s="28"/>
      <c r="G544" s="29"/>
      <c r="H544" s="38"/>
      <c r="I544" s="32"/>
    </row>
    <row r="545" spans="1:9" ht="28.5" x14ac:dyDescent="0.25">
      <c r="A545" s="1"/>
      <c r="B545" s="9"/>
      <c r="C545" s="152" t="s">
        <v>319</v>
      </c>
      <c r="D545" s="153"/>
      <c r="E545" s="151">
        <f>ROUND(8+8,0)</f>
        <v>16</v>
      </c>
      <c r="F545" s="154"/>
      <c r="G545" s="155" t="s">
        <v>21</v>
      </c>
      <c r="H545" s="38"/>
      <c r="I545" s="32"/>
    </row>
    <row r="546" spans="1:9" x14ac:dyDescent="0.25">
      <c r="A546" s="1"/>
      <c r="B546" s="9"/>
      <c r="C546" s="37"/>
      <c r="D546" s="27"/>
      <c r="E546" s="151"/>
      <c r="F546" s="28"/>
      <c r="G546" s="29"/>
      <c r="H546" s="38"/>
      <c r="I546" s="32"/>
    </row>
    <row r="547" spans="1:9" ht="28.5" x14ac:dyDescent="0.25">
      <c r="A547" s="1"/>
      <c r="B547" s="9"/>
      <c r="C547" s="152" t="s">
        <v>320</v>
      </c>
      <c r="D547" s="153"/>
      <c r="E547" s="151">
        <f>ROUND(8+8,0)</f>
        <v>16</v>
      </c>
      <c r="F547" s="154"/>
      <c r="G547" s="155" t="s">
        <v>21</v>
      </c>
      <c r="H547" s="38"/>
      <c r="I547" s="32"/>
    </row>
    <row r="548" spans="1:9" x14ac:dyDescent="0.25">
      <c r="A548" s="1"/>
      <c r="B548" s="9"/>
      <c r="C548" s="37"/>
      <c r="D548" s="27"/>
      <c r="E548" s="151"/>
      <c r="F548" s="28"/>
      <c r="G548" s="29"/>
      <c r="H548" s="38"/>
      <c r="I548" s="32"/>
    </row>
    <row r="549" spans="1:9" ht="28.5" x14ac:dyDescent="0.25">
      <c r="A549" s="1"/>
      <c r="B549" s="9"/>
      <c r="C549" s="152" t="s">
        <v>321</v>
      </c>
      <c r="D549" s="153"/>
      <c r="E549" s="151">
        <f>ROUND(8+8,0)</f>
        <v>16</v>
      </c>
      <c r="F549" s="154"/>
      <c r="G549" s="155" t="s">
        <v>21</v>
      </c>
      <c r="H549" s="38"/>
      <c r="I549" s="32"/>
    </row>
    <row r="550" spans="1:9" x14ac:dyDescent="0.25">
      <c r="A550" s="1"/>
      <c r="B550" s="9"/>
      <c r="C550" s="37"/>
      <c r="D550" s="27"/>
      <c r="E550" s="151"/>
      <c r="F550" s="28"/>
      <c r="G550" s="29"/>
      <c r="H550" s="38"/>
      <c r="I550" s="32"/>
    </row>
    <row r="551" spans="1:9" ht="28.5" x14ac:dyDescent="0.25">
      <c r="A551" s="1"/>
      <c r="B551" s="9"/>
      <c r="C551" s="152" t="s">
        <v>322</v>
      </c>
      <c r="D551" s="153"/>
      <c r="E551" s="151">
        <f>ROUND(8+8,0)</f>
        <v>16</v>
      </c>
      <c r="F551" s="154"/>
      <c r="G551" s="155" t="s">
        <v>21</v>
      </c>
      <c r="H551" s="38"/>
      <c r="I551" s="32"/>
    </row>
    <row r="552" spans="1:9" x14ac:dyDescent="0.25">
      <c r="A552" s="1"/>
      <c r="B552" s="9"/>
      <c r="C552" s="37"/>
      <c r="D552" s="27"/>
      <c r="E552" s="151"/>
      <c r="F552" s="28"/>
      <c r="G552" s="29"/>
      <c r="H552" s="38"/>
      <c r="I552" s="32"/>
    </row>
    <row r="553" spans="1:9" ht="28.5" x14ac:dyDescent="0.25">
      <c r="A553" s="1"/>
      <c r="B553" s="9"/>
      <c r="C553" s="152" t="s">
        <v>323</v>
      </c>
      <c r="D553" s="153"/>
      <c r="E553" s="151">
        <f>ROUND(8+8,0)</f>
        <v>16</v>
      </c>
      <c r="F553" s="154"/>
      <c r="G553" s="155" t="s">
        <v>21</v>
      </c>
      <c r="H553" s="38"/>
      <c r="I553" s="32"/>
    </row>
    <row r="554" spans="1:9" x14ac:dyDescent="0.25">
      <c r="A554" s="1"/>
      <c r="B554" s="9"/>
      <c r="C554" s="37"/>
      <c r="D554" s="27"/>
      <c r="E554" s="151"/>
      <c r="F554" s="28"/>
      <c r="G554" s="29"/>
      <c r="H554" s="38"/>
      <c r="I554" s="32"/>
    </row>
    <row r="555" spans="1:9" ht="28.5" x14ac:dyDescent="0.25">
      <c r="A555" s="1"/>
      <c r="B555" s="9"/>
      <c r="C555" s="152" t="s">
        <v>324</v>
      </c>
      <c r="D555" s="153"/>
      <c r="E555" s="151">
        <f>ROUND(8+8,0)</f>
        <v>16</v>
      </c>
      <c r="F555" s="154"/>
      <c r="G555" s="155" t="s">
        <v>21</v>
      </c>
      <c r="H555" s="38"/>
      <c r="I555" s="32"/>
    </row>
    <row r="556" spans="1:9" x14ac:dyDescent="0.25">
      <c r="A556" s="1"/>
      <c r="B556" s="9"/>
      <c r="C556" s="37"/>
      <c r="D556" s="27"/>
      <c r="E556" s="151"/>
      <c r="F556" s="28"/>
      <c r="G556" s="29"/>
      <c r="H556" s="38"/>
      <c r="I556" s="32"/>
    </row>
    <row r="557" spans="1:9" ht="28.5" x14ac:dyDescent="0.25">
      <c r="A557" s="1"/>
      <c r="B557" s="9"/>
      <c r="C557" s="152" t="s">
        <v>325</v>
      </c>
      <c r="D557" s="153"/>
      <c r="E557" s="151">
        <f>ROUND(8+8,0)</f>
        <v>16</v>
      </c>
      <c r="F557" s="154"/>
      <c r="G557" s="155" t="s">
        <v>21</v>
      </c>
      <c r="H557" s="38"/>
      <c r="I557" s="32"/>
    </row>
    <row r="558" spans="1:9" x14ac:dyDescent="0.25">
      <c r="A558" s="1"/>
      <c r="B558" s="9"/>
      <c r="C558" s="37"/>
      <c r="D558" s="27"/>
      <c r="E558" s="151"/>
      <c r="F558" s="28"/>
      <c r="G558" s="29"/>
      <c r="H558" s="38"/>
      <c r="I558" s="32"/>
    </row>
    <row r="559" spans="1:9" ht="28.5" x14ac:dyDescent="0.25">
      <c r="A559" s="1"/>
      <c r="B559" s="9"/>
      <c r="C559" s="152" t="s">
        <v>326</v>
      </c>
      <c r="D559" s="153"/>
      <c r="E559" s="151">
        <f>ROUND(8+8,0)</f>
        <v>16</v>
      </c>
      <c r="F559" s="154"/>
      <c r="G559" s="155" t="s">
        <v>21</v>
      </c>
      <c r="H559" s="38"/>
      <c r="I559" s="32"/>
    </row>
    <row r="560" spans="1:9" x14ac:dyDescent="0.25">
      <c r="A560" s="1"/>
      <c r="B560" s="9"/>
      <c r="C560" s="37"/>
      <c r="D560" s="27"/>
      <c r="E560" s="151"/>
      <c r="F560" s="28"/>
      <c r="G560" s="29"/>
      <c r="H560" s="38"/>
      <c r="I560" s="32"/>
    </row>
    <row r="561" spans="1:9" ht="28.5" x14ac:dyDescent="0.25">
      <c r="A561" s="1"/>
      <c r="B561" s="9"/>
      <c r="C561" s="37" t="s">
        <v>329</v>
      </c>
      <c r="D561" s="27"/>
      <c r="E561" s="151">
        <f>ROUND(80.4,0)</f>
        <v>80</v>
      </c>
      <c r="F561" s="154"/>
      <c r="G561" s="155" t="s">
        <v>21</v>
      </c>
      <c r="H561" s="38"/>
      <c r="I561" s="32"/>
    </row>
    <row r="562" spans="1:9" x14ac:dyDescent="0.25">
      <c r="A562" s="1"/>
      <c r="B562" s="9"/>
      <c r="C562" s="37"/>
      <c r="D562" s="27"/>
      <c r="E562" s="151"/>
      <c r="F562" s="28"/>
      <c r="G562" s="29"/>
      <c r="H562" s="38"/>
      <c r="I562" s="32"/>
    </row>
    <row r="563" spans="1:9" ht="28.5" x14ac:dyDescent="0.25">
      <c r="A563" s="1"/>
      <c r="B563" s="9"/>
      <c r="C563" s="37" t="s">
        <v>330</v>
      </c>
      <c r="D563" s="27"/>
      <c r="E563" s="151">
        <f>ROUND(59.61,0)</f>
        <v>60</v>
      </c>
      <c r="F563" s="154"/>
      <c r="G563" s="155" t="s">
        <v>21</v>
      </c>
      <c r="H563" s="38"/>
      <c r="I563" s="32"/>
    </row>
    <row r="564" spans="1:9" x14ac:dyDescent="0.25">
      <c r="A564" s="1"/>
      <c r="B564" s="9"/>
      <c r="C564" s="37"/>
      <c r="D564" s="27"/>
      <c r="E564" s="151"/>
      <c r="F564" s="28"/>
      <c r="G564" s="29"/>
      <c r="H564" s="38"/>
      <c r="I564" s="32"/>
    </row>
    <row r="565" spans="1:9" ht="28.5" x14ac:dyDescent="0.25">
      <c r="A565" s="1"/>
      <c r="B565" s="9"/>
      <c r="C565" s="37" t="s">
        <v>331</v>
      </c>
      <c r="D565" s="27"/>
      <c r="E565" s="151">
        <f>ROUND(68.92,0)</f>
        <v>69</v>
      </c>
      <c r="F565" s="154"/>
      <c r="G565" s="155" t="s">
        <v>21</v>
      </c>
      <c r="H565" s="38"/>
      <c r="I565" s="32"/>
    </row>
    <row r="566" spans="1:9" x14ac:dyDescent="0.25">
      <c r="A566" s="1"/>
      <c r="B566" s="9"/>
      <c r="C566" s="37"/>
      <c r="D566" s="27"/>
      <c r="E566" s="151"/>
      <c r="F566" s="28"/>
      <c r="G566" s="29"/>
      <c r="H566" s="38"/>
      <c r="I566" s="32"/>
    </row>
    <row r="567" spans="1:9" ht="28.5" x14ac:dyDescent="0.25">
      <c r="A567" s="1"/>
      <c r="B567" s="9"/>
      <c r="C567" s="37" t="s">
        <v>332</v>
      </c>
      <c r="D567" s="27"/>
      <c r="E567" s="151">
        <f>ROUND(70.53,0)</f>
        <v>71</v>
      </c>
      <c r="F567" s="154"/>
      <c r="G567" s="155" t="s">
        <v>21</v>
      </c>
      <c r="H567" s="38"/>
      <c r="I567" s="32"/>
    </row>
    <row r="568" spans="1:9" x14ac:dyDescent="0.25">
      <c r="A568" s="1"/>
      <c r="B568" s="9"/>
      <c r="C568" s="37"/>
      <c r="D568" s="27"/>
      <c r="E568" s="151"/>
      <c r="F568" s="28"/>
      <c r="G568" s="29"/>
      <c r="H568" s="38"/>
      <c r="I568" s="32"/>
    </row>
    <row r="569" spans="1:9" ht="28.5" x14ac:dyDescent="0.25">
      <c r="A569" s="1"/>
      <c r="B569" s="9"/>
      <c r="C569" s="37" t="s">
        <v>333</v>
      </c>
      <c r="D569" s="27"/>
      <c r="E569" s="151">
        <f>ROUND(71.29,0)</f>
        <v>71</v>
      </c>
      <c r="F569" s="154"/>
      <c r="G569" s="155" t="s">
        <v>21</v>
      </c>
      <c r="H569" s="38"/>
      <c r="I569" s="32"/>
    </row>
    <row r="570" spans="1:9" x14ac:dyDescent="0.25">
      <c r="A570" s="1"/>
      <c r="B570" s="9"/>
      <c r="C570" s="37"/>
      <c r="D570" s="27"/>
      <c r="E570" s="151"/>
      <c r="F570" s="28"/>
      <c r="G570" s="29"/>
      <c r="H570" s="38"/>
      <c r="I570" s="32"/>
    </row>
    <row r="571" spans="1:9" ht="28.5" x14ac:dyDescent="0.25">
      <c r="A571" s="1"/>
      <c r="B571" s="9"/>
      <c r="C571" s="37" t="s">
        <v>334</v>
      </c>
      <c r="D571" s="27"/>
      <c r="E571" s="151">
        <f>ROUND(39.94,0)</f>
        <v>40</v>
      </c>
      <c r="F571" s="154"/>
      <c r="G571" s="155" t="s">
        <v>21</v>
      </c>
      <c r="H571" s="38"/>
      <c r="I571" s="32"/>
    </row>
    <row r="572" spans="1:9" x14ac:dyDescent="0.25">
      <c r="A572" s="1"/>
      <c r="B572" s="9"/>
      <c r="C572" s="37"/>
      <c r="D572" s="27"/>
      <c r="E572" s="151"/>
      <c r="F572" s="28"/>
      <c r="G572" s="29"/>
      <c r="H572" s="38"/>
      <c r="I572" s="32"/>
    </row>
    <row r="573" spans="1:9" ht="28.5" x14ac:dyDescent="0.25">
      <c r="A573" s="1"/>
      <c r="B573" s="9"/>
      <c r="C573" s="37" t="s">
        <v>335</v>
      </c>
      <c r="D573" s="27"/>
      <c r="E573" s="151">
        <f>ROUND(69.19,0)</f>
        <v>69</v>
      </c>
      <c r="F573" s="154"/>
      <c r="G573" s="155" t="s">
        <v>21</v>
      </c>
      <c r="H573" s="38"/>
      <c r="I573" s="32"/>
    </row>
    <row r="574" spans="1:9" x14ac:dyDescent="0.25">
      <c r="A574" s="1"/>
      <c r="B574" s="9"/>
      <c r="C574" s="37"/>
      <c r="D574" s="27"/>
      <c r="E574" s="151"/>
      <c r="F574" s="28"/>
      <c r="G574" s="29"/>
      <c r="H574" s="38"/>
      <c r="I574" s="32"/>
    </row>
    <row r="575" spans="1:9" ht="28.5" x14ac:dyDescent="0.25">
      <c r="A575" s="1"/>
      <c r="B575" s="9"/>
      <c r="C575" s="37" t="s">
        <v>336</v>
      </c>
      <c r="D575" s="27"/>
      <c r="E575" s="151">
        <f>ROUND(70.91,0)</f>
        <v>71</v>
      </c>
      <c r="F575" s="154"/>
      <c r="G575" s="155" t="s">
        <v>21</v>
      </c>
      <c r="H575" s="38"/>
      <c r="I575" s="32"/>
    </row>
    <row r="576" spans="1:9" x14ac:dyDescent="0.25">
      <c r="A576" s="1"/>
      <c r="B576" s="9"/>
      <c r="C576" s="37"/>
      <c r="D576" s="27"/>
      <c r="E576" s="151"/>
      <c r="F576" s="28"/>
      <c r="G576" s="29"/>
      <c r="H576" s="38"/>
      <c r="I576" s="32"/>
    </row>
    <row r="577" spans="1:9" ht="28.5" x14ac:dyDescent="0.25">
      <c r="A577" s="1"/>
      <c r="B577" s="9"/>
      <c r="C577" s="37" t="s">
        <v>337</v>
      </c>
      <c r="D577" s="27"/>
      <c r="E577" s="151">
        <f>ROUND(72.25,0)</f>
        <v>72</v>
      </c>
      <c r="F577" s="154"/>
      <c r="G577" s="155" t="s">
        <v>21</v>
      </c>
      <c r="H577" s="38"/>
      <c r="I577" s="32"/>
    </row>
    <row r="578" spans="1:9" x14ac:dyDescent="0.25">
      <c r="A578" s="1"/>
      <c r="B578" s="9"/>
      <c r="C578" s="37"/>
      <c r="D578" s="27"/>
      <c r="E578" s="151"/>
      <c r="F578" s="28"/>
      <c r="G578" s="29"/>
      <c r="H578" s="38"/>
      <c r="I578" s="32"/>
    </row>
    <row r="579" spans="1:9" ht="28.5" x14ac:dyDescent="0.25">
      <c r="A579" s="1"/>
      <c r="B579" s="9"/>
      <c r="C579" s="37" t="s">
        <v>338</v>
      </c>
      <c r="D579" s="27"/>
      <c r="E579" s="151">
        <f>ROUND(71.1,0)</f>
        <v>71</v>
      </c>
      <c r="F579" s="154"/>
      <c r="G579" s="155" t="s">
        <v>21</v>
      </c>
      <c r="H579" s="38"/>
      <c r="I579" s="32"/>
    </row>
    <row r="580" spans="1:9" x14ac:dyDescent="0.25">
      <c r="A580" s="1"/>
      <c r="B580" s="9"/>
      <c r="C580" s="37"/>
      <c r="D580" s="27"/>
      <c r="E580" s="151"/>
      <c r="F580" s="28"/>
      <c r="G580" s="29"/>
      <c r="H580" s="38"/>
      <c r="I580" s="32"/>
    </row>
    <row r="581" spans="1:9" ht="28.5" x14ac:dyDescent="0.25">
      <c r="A581" s="1"/>
      <c r="B581" s="9"/>
      <c r="C581" s="37" t="s">
        <v>339</v>
      </c>
      <c r="D581" s="27"/>
      <c r="E581" s="151">
        <f>ROUND(29.68,0)</f>
        <v>30</v>
      </c>
      <c r="F581" s="154"/>
      <c r="G581" s="155" t="s">
        <v>21</v>
      </c>
      <c r="H581" s="38"/>
      <c r="I581" s="32"/>
    </row>
    <row r="582" spans="1:9" x14ac:dyDescent="0.25">
      <c r="A582" s="1"/>
      <c r="B582" s="9"/>
      <c r="C582" s="37"/>
      <c r="D582" s="27"/>
      <c r="E582" s="151"/>
      <c r="F582" s="28"/>
      <c r="G582" s="29"/>
      <c r="H582" s="38"/>
      <c r="I582" s="32"/>
    </row>
    <row r="583" spans="1:9" ht="28.5" x14ac:dyDescent="0.25">
      <c r="A583" s="1"/>
      <c r="B583" s="9"/>
      <c r="C583" s="37" t="s">
        <v>340</v>
      </c>
      <c r="D583" s="27"/>
      <c r="E583" s="151">
        <f>ROUND(11.9+5.3+11.9+4.9+11.9+4.9+11.9+4.9+11.9+4.9+11.9+4.9+4.3+2.65+11.9+4.9+11.9+4.9+11.9+4,0)</f>
        <v>158</v>
      </c>
      <c r="F583" s="28"/>
      <c r="G583" s="155" t="s">
        <v>20</v>
      </c>
      <c r="H583" s="38"/>
      <c r="I583" s="32"/>
    </row>
    <row r="584" spans="1:9" x14ac:dyDescent="0.25">
      <c r="A584" s="1"/>
      <c r="B584" s="9"/>
      <c r="C584" s="37"/>
      <c r="D584" s="27"/>
      <c r="E584" s="151"/>
      <c r="F584" s="28"/>
      <c r="G584" s="29"/>
      <c r="H584" s="38"/>
      <c r="I584" s="32"/>
    </row>
    <row r="585" spans="1:9" ht="28.5" x14ac:dyDescent="0.25">
      <c r="A585" s="1"/>
      <c r="B585" s="9"/>
      <c r="C585" s="37" t="s">
        <v>353</v>
      </c>
      <c r="D585" s="27"/>
      <c r="E585" s="151">
        <f>ROUND((3.37+0.75)*10*2,0)</f>
        <v>82</v>
      </c>
      <c r="F585" s="28"/>
      <c r="G585" s="155" t="s">
        <v>20</v>
      </c>
      <c r="H585" s="38"/>
      <c r="I585" s="32"/>
    </row>
    <row r="586" spans="1:9" x14ac:dyDescent="0.25">
      <c r="A586" s="1"/>
      <c r="B586" s="9"/>
      <c r="C586" s="37"/>
      <c r="D586" s="27"/>
      <c r="E586" s="151"/>
      <c r="F586" s="28"/>
      <c r="G586" s="29"/>
      <c r="H586" s="38"/>
      <c r="I586" s="32"/>
    </row>
    <row r="587" spans="1:9" ht="28.5" x14ac:dyDescent="0.25">
      <c r="A587" s="1"/>
      <c r="B587" s="9"/>
      <c r="C587" s="37" t="s">
        <v>354</v>
      </c>
      <c r="D587" s="27"/>
      <c r="E587" s="151">
        <f>ROUND(162.1,0)</f>
        <v>162</v>
      </c>
      <c r="F587" s="28"/>
      <c r="G587" s="155" t="s">
        <v>20</v>
      </c>
      <c r="H587" s="38"/>
      <c r="I587" s="32"/>
    </row>
    <row r="588" spans="1:9" x14ac:dyDescent="0.25">
      <c r="A588" s="1"/>
      <c r="B588" s="9"/>
      <c r="C588" s="37"/>
      <c r="D588" s="27"/>
      <c r="E588" s="151"/>
      <c r="F588" s="28"/>
      <c r="G588" s="29"/>
      <c r="H588" s="38"/>
      <c r="I588" s="32"/>
    </row>
    <row r="589" spans="1:9" ht="42.75" x14ac:dyDescent="0.25">
      <c r="A589" s="1"/>
      <c r="B589" s="9"/>
      <c r="C589" s="37" t="s">
        <v>352</v>
      </c>
      <c r="D589" s="27"/>
      <c r="E589" s="151">
        <f>ROUND(10*4.8,0)</f>
        <v>48</v>
      </c>
      <c r="F589" s="28"/>
      <c r="G589" s="155" t="s">
        <v>20</v>
      </c>
      <c r="H589" s="38"/>
      <c r="I589" s="32"/>
    </row>
    <row r="590" spans="1:9" x14ac:dyDescent="0.25">
      <c r="A590" s="1"/>
      <c r="B590" s="9"/>
      <c r="C590" s="37"/>
      <c r="D590" s="27"/>
      <c r="E590" s="151"/>
      <c r="F590" s="28"/>
      <c r="G590" s="29"/>
      <c r="H590" s="38"/>
      <c r="I590" s="32"/>
    </row>
    <row r="591" spans="1:9" x14ac:dyDescent="0.25">
      <c r="A591" s="1"/>
      <c r="B591" s="9"/>
      <c r="C591" s="37"/>
      <c r="D591" s="27"/>
      <c r="E591" s="151"/>
      <c r="F591" s="28"/>
      <c r="G591" s="29"/>
      <c r="H591" s="38"/>
      <c r="I591" s="32"/>
    </row>
    <row r="592" spans="1:9" x14ac:dyDescent="0.25">
      <c r="A592" s="1"/>
      <c r="B592" s="9"/>
      <c r="C592" s="37"/>
      <c r="D592" s="27"/>
      <c r="E592" s="151"/>
      <c r="F592" s="28"/>
      <c r="G592" s="29"/>
      <c r="H592" s="38"/>
      <c r="I592" s="32"/>
    </row>
    <row r="593" spans="1:9" x14ac:dyDescent="0.25">
      <c r="A593" s="1"/>
      <c r="B593" s="9"/>
      <c r="C593" s="37"/>
      <c r="D593" s="27"/>
      <c r="E593" s="151"/>
      <c r="F593" s="28"/>
      <c r="G593" s="29"/>
      <c r="H593" s="38"/>
      <c r="I593" s="32"/>
    </row>
    <row r="594" spans="1:9" x14ac:dyDescent="0.25">
      <c r="A594" s="1"/>
      <c r="B594" s="9"/>
      <c r="C594" s="37"/>
      <c r="D594" s="27"/>
      <c r="E594" s="151"/>
      <c r="F594" s="28"/>
      <c r="G594" s="29"/>
      <c r="H594" s="38"/>
      <c r="I594" s="32"/>
    </row>
    <row r="595" spans="1:9" x14ac:dyDescent="0.25">
      <c r="A595" s="1"/>
      <c r="B595" s="9"/>
      <c r="C595" s="37"/>
      <c r="D595" s="27"/>
      <c r="E595" s="151"/>
      <c r="F595" s="28"/>
      <c r="G595" s="29"/>
      <c r="H595" s="38"/>
      <c r="I595" s="32"/>
    </row>
    <row r="596" spans="1:9" x14ac:dyDescent="0.25">
      <c r="A596" s="1"/>
      <c r="B596" s="9"/>
      <c r="C596" s="37"/>
      <c r="D596" s="27"/>
      <c r="E596" s="151"/>
      <c r="F596" s="28"/>
      <c r="G596" s="29"/>
      <c r="H596" s="38"/>
      <c r="I596" s="32"/>
    </row>
    <row r="597" spans="1:9" x14ac:dyDescent="0.25">
      <c r="A597" s="1"/>
      <c r="B597" s="9"/>
      <c r="C597" s="37"/>
      <c r="D597" s="27"/>
      <c r="E597" s="151"/>
      <c r="F597" s="28"/>
      <c r="G597" s="29"/>
      <c r="H597" s="38"/>
      <c r="I597" s="32"/>
    </row>
    <row r="598" spans="1:9" x14ac:dyDescent="0.25">
      <c r="A598" s="1"/>
      <c r="B598" s="9"/>
      <c r="C598" s="37"/>
      <c r="D598" s="27"/>
      <c r="E598" s="151"/>
      <c r="F598" s="28"/>
      <c r="G598" s="29"/>
      <c r="H598" s="38"/>
      <c r="I598" s="32"/>
    </row>
    <row r="599" spans="1:9" x14ac:dyDescent="0.25">
      <c r="A599" s="1"/>
      <c r="B599" s="9"/>
      <c r="C599" s="37"/>
      <c r="D599" s="27"/>
      <c r="E599" s="151"/>
      <c r="F599" s="28"/>
      <c r="G599" s="29"/>
      <c r="H599" s="38"/>
      <c r="I599" s="32"/>
    </row>
    <row r="600" spans="1:9" x14ac:dyDescent="0.25">
      <c r="A600" s="1"/>
      <c r="B600" s="9"/>
      <c r="C600" s="37"/>
      <c r="D600" s="27"/>
      <c r="E600" s="151"/>
      <c r="F600" s="28"/>
      <c r="G600" s="29"/>
      <c r="H600" s="38"/>
      <c r="I600" s="32"/>
    </row>
    <row r="601" spans="1:9" x14ac:dyDescent="0.25">
      <c r="A601" s="1"/>
      <c r="B601" s="9"/>
      <c r="C601" s="37"/>
      <c r="D601" s="27"/>
      <c r="E601" s="151"/>
      <c r="F601" s="28"/>
      <c r="G601" s="29"/>
      <c r="H601" s="38"/>
      <c r="I601" s="32"/>
    </row>
    <row r="602" spans="1:9" x14ac:dyDescent="0.25">
      <c r="A602" s="1"/>
      <c r="B602" s="9"/>
      <c r="C602" s="37"/>
      <c r="D602" s="27"/>
      <c r="E602" s="151"/>
      <c r="F602" s="28"/>
      <c r="G602" s="29"/>
      <c r="H602" s="38"/>
      <c r="I602" s="32"/>
    </row>
    <row r="603" spans="1:9" x14ac:dyDescent="0.25">
      <c r="A603" s="1"/>
      <c r="B603" s="9"/>
      <c r="C603" s="37"/>
      <c r="D603" s="27"/>
      <c r="E603" s="151"/>
      <c r="F603" s="28"/>
      <c r="G603" s="29"/>
      <c r="H603" s="38"/>
      <c r="I603" s="32"/>
    </row>
    <row r="604" spans="1:9" x14ac:dyDescent="0.25">
      <c r="A604" s="1"/>
      <c r="B604" s="9"/>
      <c r="C604" s="37"/>
      <c r="D604" s="27"/>
      <c r="E604" s="151"/>
      <c r="F604" s="28"/>
      <c r="G604" s="29"/>
      <c r="H604" s="38"/>
      <c r="I604" s="32"/>
    </row>
    <row r="605" spans="1:9" x14ac:dyDescent="0.25">
      <c r="A605" s="1"/>
      <c r="B605" s="9"/>
      <c r="C605" s="37"/>
      <c r="D605" s="27"/>
      <c r="E605" s="151"/>
      <c r="F605" s="28"/>
      <c r="G605" s="29"/>
      <c r="H605" s="38"/>
      <c r="I605" s="32"/>
    </row>
    <row r="606" spans="1:9" x14ac:dyDescent="0.25">
      <c r="A606" s="1"/>
      <c r="B606" s="9"/>
      <c r="C606" s="37"/>
      <c r="D606" s="27"/>
      <c r="E606" s="151"/>
      <c r="F606" s="28"/>
      <c r="G606" s="29"/>
      <c r="H606" s="38"/>
      <c r="I606" s="32"/>
    </row>
    <row r="607" spans="1:9" x14ac:dyDescent="0.25">
      <c r="A607" s="1"/>
      <c r="B607" s="9"/>
      <c r="C607" s="37"/>
      <c r="D607" s="27"/>
      <c r="E607" s="151"/>
      <c r="F607" s="28"/>
      <c r="G607" s="29"/>
      <c r="H607" s="38"/>
      <c r="I607" s="32"/>
    </row>
    <row r="608" spans="1:9" x14ac:dyDescent="0.25">
      <c r="A608" s="1"/>
      <c r="B608" s="9"/>
      <c r="C608" s="37"/>
      <c r="D608" s="27"/>
      <c r="E608" s="151"/>
      <c r="F608" s="28"/>
      <c r="G608" s="29"/>
      <c r="H608" s="38"/>
      <c r="I608" s="32"/>
    </row>
    <row r="609" spans="1:9" x14ac:dyDescent="0.25">
      <c r="A609" s="1"/>
      <c r="B609" s="9"/>
      <c r="C609" s="37"/>
      <c r="D609" s="27"/>
      <c r="E609" s="151"/>
      <c r="F609" s="28"/>
      <c r="G609" s="29"/>
      <c r="H609" s="38"/>
      <c r="I609" s="32"/>
    </row>
    <row r="610" spans="1:9" x14ac:dyDescent="0.25">
      <c r="A610" s="1"/>
      <c r="B610" s="9"/>
      <c r="C610" s="37"/>
      <c r="D610" s="27"/>
      <c r="E610" s="151"/>
      <c r="F610" s="28"/>
      <c r="G610" s="29"/>
      <c r="H610" s="38"/>
      <c r="I610" s="32"/>
    </row>
    <row r="611" spans="1:9" x14ac:dyDescent="0.25">
      <c r="A611" s="1"/>
      <c r="B611" s="9"/>
      <c r="C611" s="37"/>
      <c r="D611" s="27"/>
      <c r="E611" s="151"/>
      <c r="F611" s="28"/>
      <c r="G611" s="29"/>
      <c r="H611" s="38"/>
      <c r="I611" s="32"/>
    </row>
    <row r="612" spans="1:9" x14ac:dyDescent="0.25">
      <c r="A612" s="1"/>
      <c r="B612" s="9"/>
      <c r="C612" s="37"/>
      <c r="D612" s="27"/>
      <c r="E612" s="151"/>
      <c r="F612" s="28"/>
      <c r="G612" s="29"/>
      <c r="H612" s="38"/>
      <c r="I612" s="32"/>
    </row>
    <row r="613" spans="1:9" x14ac:dyDescent="0.25">
      <c r="A613" s="1"/>
      <c r="B613" s="9"/>
      <c r="C613" s="37"/>
      <c r="D613" s="27"/>
      <c r="E613" s="151"/>
      <c r="F613" s="28"/>
      <c r="G613" s="29"/>
      <c r="H613" s="38"/>
      <c r="I613" s="32"/>
    </row>
    <row r="614" spans="1:9" x14ac:dyDescent="0.25">
      <c r="A614" s="1"/>
      <c r="B614" s="9"/>
      <c r="C614" s="37"/>
      <c r="D614" s="27"/>
      <c r="E614" s="151"/>
      <c r="F614" s="28"/>
      <c r="G614" s="29"/>
      <c r="H614" s="38"/>
      <c r="I614" s="32"/>
    </row>
    <row r="615" spans="1:9" x14ac:dyDescent="0.25">
      <c r="A615" s="1"/>
      <c r="B615" s="9"/>
      <c r="C615" s="37"/>
      <c r="D615" s="27"/>
      <c r="E615" s="151"/>
      <c r="F615" s="28"/>
      <c r="G615" s="29"/>
      <c r="H615" s="38"/>
      <c r="I615" s="32"/>
    </row>
    <row r="616" spans="1:9" x14ac:dyDescent="0.25">
      <c r="A616" s="1"/>
      <c r="B616" s="9"/>
      <c r="C616" s="37"/>
      <c r="D616" s="27"/>
      <c r="E616" s="151"/>
      <c r="F616" s="28"/>
      <c r="G616" s="29"/>
      <c r="H616" s="38"/>
      <c r="I616" s="32"/>
    </row>
    <row r="617" spans="1:9" x14ac:dyDescent="0.25">
      <c r="A617" s="1"/>
      <c r="B617" s="9"/>
      <c r="C617" s="37"/>
      <c r="D617" s="27"/>
      <c r="E617" s="151"/>
      <c r="F617" s="28"/>
      <c r="G617" s="29"/>
      <c r="H617" s="38"/>
      <c r="I617" s="32"/>
    </row>
    <row r="618" spans="1:9" x14ac:dyDescent="0.25">
      <c r="A618" s="1"/>
      <c r="B618" s="9"/>
      <c r="C618" s="37"/>
      <c r="D618" s="27"/>
      <c r="E618" s="151"/>
      <c r="F618" s="28"/>
      <c r="G618" s="29"/>
      <c r="H618" s="38"/>
      <c r="I618" s="32"/>
    </row>
    <row r="619" spans="1:9" x14ac:dyDescent="0.25">
      <c r="A619" s="1"/>
      <c r="B619" s="9"/>
      <c r="C619" s="37"/>
      <c r="D619" s="27"/>
      <c r="E619" s="151"/>
      <c r="F619" s="28"/>
      <c r="G619" s="29"/>
      <c r="H619" s="38"/>
      <c r="I619" s="32"/>
    </row>
    <row r="620" spans="1:9" x14ac:dyDescent="0.25">
      <c r="A620" s="1"/>
      <c r="B620" s="9"/>
      <c r="C620" s="37"/>
      <c r="D620" s="27"/>
      <c r="E620" s="151"/>
      <c r="F620" s="28"/>
      <c r="G620" s="29"/>
      <c r="H620" s="38"/>
      <c r="I620" s="32"/>
    </row>
    <row r="621" spans="1:9" x14ac:dyDescent="0.25">
      <c r="A621" s="1"/>
      <c r="B621" s="9"/>
      <c r="C621" s="37"/>
      <c r="D621" s="27"/>
      <c r="E621" s="151"/>
      <c r="F621" s="28"/>
      <c r="G621" s="29"/>
      <c r="H621" s="38"/>
      <c r="I621" s="32"/>
    </row>
    <row r="622" spans="1:9" x14ac:dyDescent="0.25">
      <c r="A622" s="1"/>
      <c r="B622" s="9"/>
      <c r="C622" s="37"/>
      <c r="D622" s="27"/>
      <c r="E622" s="151"/>
      <c r="F622" s="28"/>
      <c r="G622" s="29"/>
      <c r="H622" s="38"/>
      <c r="I622" s="32"/>
    </row>
    <row r="623" spans="1:9" x14ac:dyDescent="0.25">
      <c r="A623" s="1"/>
      <c r="B623" s="9"/>
      <c r="C623" s="37"/>
      <c r="D623" s="27"/>
      <c r="E623" s="151"/>
      <c r="F623" s="28"/>
      <c r="G623" s="29"/>
      <c r="H623" s="38"/>
      <c r="I623" s="32"/>
    </row>
    <row r="624" spans="1:9" x14ac:dyDescent="0.25">
      <c r="A624" s="1"/>
      <c r="B624" s="9"/>
      <c r="C624" s="37"/>
      <c r="D624" s="27"/>
      <c r="E624" s="151"/>
      <c r="F624" s="28"/>
      <c r="G624" s="29"/>
      <c r="H624" s="38"/>
      <c r="I624" s="32"/>
    </row>
    <row r="625" spans="1:9" x14ac:dyDescent="0.25">
      <c r="A625" s="1"/>
      <c r="B625" s="9"/>
      <c r="C625" s="37"/>
      <c r="D625" s="27"/>
      <c r="E625" s="151"/>
      <c r="F625" s="28"/>
      <c r="G625" s="29"/>
      <c r="H625" s="38"/>
      <c r="I625" s="32"/>
    </row>
    <row r="626" spans="1:9" x14ac:dyDescent="0.25">
      <c r="A626" s="1"/>
      <c r="B626" s="9"/>
      <c r="C626" s="37"/>
      <c r="D626" s="27"/>
      <c r="E626" s="151"/>
      <c r="F626" s="28"/>
      <c r="G626" s="29"/>
      <c r="H626" s="38"/>
      <c r="I626" s="32"/>
    </row>
    <row r="627" spans="1:9" x14ac:dyDescent="0.25">
      <c r="A627" s="1"/>
      <c r="B627" s="9"/>
      <c r="C627" s="37"/>
      <c r="D627" s="27"/>
      <c r="E627" s="151"/>
      <c r="F627" s="28"/>
      <c r="G627" s="29"/>
      <c r="H627" s="38"/>
      <c r="I627" s="32"/>
    </row>
    <row r="628" spans="1:9" x14ac:dyDescent="0.25">
      <c r="A628" s="1"/>
      <c r="B628" s="9"/>
      <c r="C628" s="37"/>
      <c r="D628" s="27"/>
      <c r="E628" s="151"/>
      <c r="F628" s="28"/>
      <c r="G628" s="29"/>
      <c r="H628" s="38"/>
      <c r="I628" s="32"/>
    </row>
    <row r="629" spans="1:9" x14ac:dyDescent="0.25">
      <c r="A629" s="1"/>
      <c r="B629" s="9"/>
      <c r="C629" s="37"/>
      <c r="D629" s="27"/>
      <c r="E629" s="151"/>
      <c r="F629" s="28"/>
      <c r="G629" s="29"/>
      <c r="H629" s="38"/>
      <c r="I629" s="32"/>
    </row>
    <row r="630" spans="1:9" x14ac:dyDescent="0.25">
      <c r="A630" s="1"/>
      <c r="B630" s="9"/>
      <c r="C630" s="37"/>
      <c r="D630" s="27"/>
      <c r="E630" s="151"/>
      <c r="F630" s="28"/>
      <c r="G630" s="29"/>
      <c r="H630" s="38"/>
      <c r="I630" s="32"/>
    </row>
    <row r="631" spans="1:9" x14ac:dyDescent="0.25">
      <c r="A631" s="1"/>
      <c r="B631" s="9"/>
      <c r="C631" s="37"/>
      <c r="D631" s="27"/>
      <c r="E631" s="151"/>
      <c r="F631" s="28"/>
      <c r="G631" s="29"/>
      <c r="H631" s="38"/>
      <c r="I631" s="32"/>
    </row>
    <row r="632" spans="1:9" x14ac:dyDescent="0.25">
      <c r="A632" s="1"/>
      <c r="B632" s="9"/>
      <c r="C632" s="37"/>
      <c r="D632" s="27"/>
      <c r="E632" s="151"/>
      <c r="F632" s="28"/>
      <c r="G632" s="29"/>
      <c r="H632" s="38"/>
      <c r="I632" s="32"/>
    </row>
    <row r="633" spans="1:9" x14ac:dyDescent="0.25">
      <c r="A633" s="1"/>
      <c r="B633" s="9"/>
      <c r="C633" s="37"/>
      <c r="D633" s="27"/>
      <c r="E633" s="151"/>
      <c r="F633" s="28"/>
      <c r="G633" s="29"/>
      <c r="H633" s="38"/>
      <c r="I633" s="32"/>
    </row>
    <row r="634" spans="1:9" x14ac:dyDescent="0.25">
      <c r="A634" s="1"/>
      <c r="B634" s="9"/>
      <c r="C634" s="37"/>
      <c r="D634" s="27"/>
      <c r="E634" s="151"/>
      <c r="F634" s="28"/>
      <c r="G634" s="29"/>
      <c r="H634" s="38"/>
      <c r="I634" s="32"/>
    </row>
    <row r="635" spans="1:9" x14ac:dyDescent="0.25">
      <c r="A635" s="1"/>
      <c r="B635" s="9"/>
      <c r="C635" s="37"/>
      <c r="D635" s="27"/>
      <c r="E635" s="151"/>
      <c r="F635" s="28"/>
      <c r="G635" s="29"/>
      <c r="H635" s="38"/>
      <c r="I635" s="32"/>
    </row>
    <row r="636" spans="1:9" x14ac:dyDescent="0.25">
      <c r="A636" s="1"/>
      <c r="B636" s="9"/>
      <c r="C636" s="37"/>
      <c r="D636" s="27"/>
      <c r="E636" s="151"/>
      <c r="F636" s="28"/>
      <c r="G636" s="29"/>
      <c r="H636" s="38"/>
      <c r="I636" s="32"/>
    </row>
    <row r="637" spans="1:9" x14ac:dyDescent="0.25">
      <c r="A637" s="1"/>
      <c r="B637" s="9"/>
      <c r="C637" s="37"/>
      <c r="D637" s="27"/>
      <c r="E637" s="151"/>
      <c r="F637" s="28"/>
      <c r="G637" s="29"/>
      <c r="H637" s="38"/>
      <c r="I637" s="32"/>
    </row>
    <row r="638" spans="1:9" x14ac:dyDescent="0.25">
      <c r="A638" s="1"/>
      <c r="B638" s="9"/>
      <c r="C638" s="37"/>
      <c r="D638" s="27"/>
      <c r="E638" s="151"/>
      <c r="F638" s="28"/>
      <c r="G638" s="29"/>
      <c r="H638" s="38"/>
      <c r="I638" s="32"/>
    </row>
    <row r="639" spans="1:9" x14ac:dyDescent="0.25">
      <c r="A639" s="1"/>
      <c r="B639" s="9"/>
      <c r="C639" s="37"/>
      <c r="D639" s="27"/>
      <c r="E639" s="151"/>
      <c r="F639" s="28"/>
      <c r="G639" s="29"/>
      <c r="H639" s="38"/>
      <c r="I639" s="32"/>
    </row>
    <row r="640" spans="1:9" x14ac:dyDescent="0.25">
      <c r="A640" s="1"/>
      <c r="B640" s="9"/>
      <c r="C640" s="37"/>
      <c r="D640" s="27"/>
      <c r="E640" s="151"/>
      <c r="F640" s="28"/>
      <c r="G640" s="29"/>
      <c r="H640" s="38"/>
      <c r="I640" s="32"/>
    </row>
    <row r="641" spans="1:9" x14ac:dyDescent="0.25">
      <c r="A641" s="1"/>
      <c r="B641" s="9"/>
      <c r="C641" s="37"/>
      <c r="D641" s="27"/>
      <c r="E641" s="151"/>
      <c r="F641" s="28"/>
      <c r="G641" s="29"/>
      <c r="H641" s="38"/>
      <c r="I641" s="32"/>
    </row>
    <row r="642" spans="1:9" x14ac:dyDescent="0.25">
      <c r="A642" s="1"/>
      <c r="B642" s="9"/>
      <c r="C642" s="37"/>
      <c r="D642" s="27"/>
      <c r="E642" s="151"/>
      <c r="F642" s="28"/>
      <c r="G642" s="29"/>
      <c r="H642" s="38"/>
      <c r="I642" s="32"/>
    </row>
    <row r="643" spans="1:9" x14ac:dyDescent="0.25">
      <c r="A643" s="1"/>
      <c r="B643" s="9"/>
      <c r="C643" s="37"/>
      <c r="D643" s="27"/>
      <c r="E643" s="151"/>
      <c r="F643" s="28"/>
      <c r="G643" s="29"/>
      <c r="H643" s="38"/>
      <c r="I643" s="32"/>
    </row>
    <row r="644" spans="1:9" x14ac:dyDescent="0.25">
      <c r="A644" s="1"/>
      <c r="B644" s="9"/>
      <c r="C644" s="37"/>
      <c r="D644" s="27"/>
      <c r="E644" s="151"/>
      <c r="F644" s="28"/>
      <c r="G644" s="29"/>
      <c r="H644" s="38"/>
      <c r="I644" s="32"/>
    </row>
    <row r="645" spans="1:9" x14ac:dyDescent="0.25">
      <c r="A645" s="1"/>
      <c r="B645" s="9"/>
      <c r="C645" s="37"/>
      <c r="D645" s="27"/>
      <c r="E645" s="151"/>
      <c r="F645" s="28"/>
      <c r="G645" s="29"/>
      <c r="H645" s="38"/>
      <c r="I645" s="32"/>
    </row>
    <row r="646" spans="1:9" x14ac:dyDescent="0.25">
      <c r="A646" s="1"/>
      <c r="B646" s="9"/>
      <c r="C646" s="37"/>
      <c r="D646" s="27"/>
      <c r="E646" s="151"/>
      <c r="F646" s="28"/>
      <c r="G646" s="29"/>
      <c r="H646" s="38"/>
      <c r="I646" s="32"/>
    </row>
    <row r="647" spans="1:9" x14ac:dyDescent="0.25">
      <c r="A647" s="1"/>
      <c r="B647" s="9"/>
      <c r="C647" s="37"/>
      <c r="D647" s="27"/>
      <c r="E647" s="151"/>
      <c r="F647" s="28"/>
      <c r="G647" s="29"/>
      <c r="H647" s="38"/>
      <c r="I647" s="32"/>
    </row>
    <row r="648" spans="1:9" x14ac:dyDescent="0.25">
      <c r="A648" s="1"/>
      <c r="B648" s="9"/>
      <c r="C648" s="37"/>
      <c r="D648" s="27"/>
      <c r="E648" s="151"/>
      <c r="F648" s="28"/>
      <c r="G648" s="29"/>
      <c r="H648" s="38"/>
      <c r="I648" s="32"/>
    </row>
    <row r="649" spans="1:9" x14ac:dyDescent="0.25">
      <c r="A649" s="1"/>
      <c r="B649" s="9"/>
      <c r="C649" s="37"/>
      <c r="D649" s="27"/>
      <c r="E649" s="151"/>
      <c r="F649" s="28"/>
      <c r="G649" s="29"/>
      <c r="H649" s="38"/>
      <c r="I649" s="32"/>
    </row>
    <row r="650" spans="1:9" x14ac:dyDescent="0.25">
      <c r="A650" s="1"/>
      <c r="B650" s="9"/>
      <c r="C650" s="37"/>
      <c r="D650" s="27"/>
      <c r="E650" s="151"/>
      <c r="F650" s="28"/>
      <c r="G650" s="29"/>
      <c r="H650" s="38"/>
      <c r="I650" s="32"/>
    </row>
    <row r="651" spans="1:9" x14ac:dyDescent="0.25">
      <c r="A651" s="1"/>
      <c r="B651" s="9"/>
      <c r="C651" s="37"/>
      <c r="D651" s="27"/>
      <c r="E651" s="151"/>
      <c r="F651" s="28"/>
      <c r="G651" s="29"/>
      <c r="H651" s="38"/>
      <c r="I651" s="32"/>
    </row>
    <row r="652" spans="1:9" x14ac:dyDescent="0.25">
      <c r="A652" s="1"/>
      <c r="B652" s="9"/>
      <c r="C652" s="37"/>
      <c r="D652" s="27"/>
      <c r="E652" s="151"/>
      <c r="F652" s="28"/>
      <c r="G652" s="29"/>
      <c r="H652" s="38"/>
      <c r="I652" s="32"/>
    </row>
    <row r="653" spans="1:9" x14ac:dyDescent="0.25">
      <c r="A653" s="1"/>
      <c r="B653" s="9"/>
      <c r="C653" s="37"/>
      <c r="D653" s="27"/>
      <c r="E653" s="151"/>
      <c r="F653" s="28"/>
      <c r="G653" s="29"/>
      <c r="H653" s="38"/>
      <c r="I653" s="32"/>
    </row>
    <row r="654" spans="1:9" x14ac:dyDescent="0.25">
      <c r="A654" s="1"/>
      <c r="B654" s="9"/>
      <c r="C654" s="37"/>
      <c r="D654" s="27"/>
      <c r="E654" s="151"/>
      <c r="F654" s="28"/>
      <c r="G654" s="29"/>
      <c r="H654" s="38"/>
      <c r="I654" s="32"/>
    </row>
    <row r="655" spans="1:9" x14ac:dyDescent="0.25">
      <c r="A655" s="1"/>
      <c r="B655" s="9"/>
      <c r="C655" s="37"/>
      <c r="D655" s="27"/>
      <c r="E655" s="151"/>
      <c r="F655" s="28"/>
      <c r="G655" s="29"/>
      <c r="H655" s="38"/>
      <c r="I655" s="32"/>
    </row>
    <row r="656" spans="1:9" x14ac:dyDescent="0.25">
      <c r="A656" s="1"/>
      <c r="B656" s="9"/>
      <c r="C656" s="37"/>
      <c r="D656" s="27"/>
      <c r="E656" s="151"/>
      <c r="F656" s="28"/>
      <c r="G656" s="29"/>
      <c r="H656" s="38"/>
      <c r="I656" s="32"/>
    </row>
    <row r="657" spans="1:9" x14ac:dyDescent="0.25">
      <c r="A657" s="1"/>
      <c r="B657" s="9"/>
      <c r="C657" s="37"/>
      <c r="D657" s="27"/>
      <c r="E657" s="151"/>
      <c r="F657" s="28"/>
      <c r="G657" s="29"/>
      <c r="H657" s="38"/>
      <c r="I657" s="32"/>
    </row>
    <row r="658" spans="1:9" x14ac:dyDescent="0.25">
      <c r="A658" s="1"/>
      <c r="B658" s="9"/>
      <c r="C658" s="37"/>
      <c r="D658" s="27"/>
      <c r="E658" s="151"/>
      <c r="F658" s="28"/>
      <c r="G658" s="29"/>
      <c r="H658" s="38"/>
      <c r="I658" s="32"/>
    </row>
    <row r="659" spans="1:9" x14ac:dyDescent="0.25">
      <c r="A659" s="1"/>
      <c r="B659" s="9"/>
      <c r="C659" s="37"/>
      <c r="D659" s="27"/>
      <c r="E659" s="151"/>
      <c r="F659" s="28"/>
      <c r="G659" s="29"/>
      <c r="H659" s="38"/>
      <c r="I659" s="32"/>
    </row>
    <row r="660" spans="1:9" x14ac:dyDescent="0.25">
      <c r="A660" s="1"/>
      <c r="B660" s="9"/>
      <c r="C660" s="37"/>
      <c r="D660" s="27"/>
      <c r="E660" s="151"/>
      <c r="F660" s="28"/>
      <c r="G660" s="29"/>
      <c r="H660" s="38"/>
      <c r="I660" s="32"/>
    </row>
    <row r="661" spans="1:9" x14ac:dyDescent="0.25">
      <c r="A661" s="1"/>
      <c r="B661" s="9"/>
      <c r="C661" s="37"/>
      <c r="D661" s="27"/>
      <c r="E661" s="151"/>
      <c r="F661" s="28"/>
      <c r="G661" s="29"/>
      <c r="H661" s="38"/>
      <c r="I661" s="32"/>
    </row>
    <row r="662" spans="1:9" x14ac:dyDescent="0.25">
      <c r="A662" s="1"/>
      <c r="B662" s="9"/>
      <c r="C662" s="37"/>
      <c r="D662" s="27"/>
      <c r="E662" s="151"/>
      <c r="F662" s="28"/>
      <c r="G662" s="29"/>
      <c r="H662" s="38"/>
      <c r="I662" s="32"/>
    </row>
    <row r="663" spans="1:9" x14ac:dyDescent="0.25">
      <c r="A663" s="1"/>
      <c r="B663" s="9"/>
      <c r="C663" s="37"/>
      <c r="D663" s="27"/>
      <c r="E663" s="151"/>
      <c r="F663" s="28"/>
      <c r="G663" s="29"/>
      <c r="H663" s="38"/>
      <c r="I663" s="32"/>
    </row>
    <row r="664" spans="1:9" x14ac:dyDescent="0.25">
      <c r="A664" s="1"/>
      <c r="B664" s="9"/>
      <c r="C664" s="37"/>
      <c r="D664" s="27"/>
      <c r="E664" s="151"/>
      <c r="F664" s="28"/>
      <c r="G664" s="29"/>
      <c r="H664" s="38"/>
      <c r="I664" s="32"/>
    </row>
    <row r="665" spans="1:9" x14ac:dyDescent="0.25">
      <c r="A665" s="1"/>
      <c r="B665" s="9"/>
      <c r="C665" s="37"/>
      <c r="D665" s="27"/>
      <c r="E665" s="151"/>
      <c r="F665" s="28"/>
      <c r="G665" s="29"/>
      <c r="H665" s="38"/>
      <c r="I665" s="32"/>
    </row>
    <row r="666" spans="1:9" x14ac:dyDescent="0.25">
      <c r="A666" s="1"/>
      <c r="B666" s="9"/>
      <c r="C666" s="37"/>
      <c r="D666" s="27"/>
      <c r="E666" s="151"/>
      <c r="F666" s="28"/>
      <c r="G666" s="29"/>
      <c r="H666" s="38"/>
      <c r="I666" s="32"/>
    </row>
    <row r="667" spans="1:9" x14ac:dyDescent="0.25">
      <c r="A667" s="1"/>
      <c r="B667" s="9"/>
      <c r="C667" s="37"/>
      <c r="D667" s="27"/>
      <c r="E667" s="151"/>
      <c r="F667" s="28"/>
      <c r="G667" s="29"/>
      <c r="H667" s="38"/>
      <c r="I667" s="32"/>
    </row>
    <row r="668" spans="1:9" x14ac:dyDescent="0.25">
      <c r="A668" s="1"/>
      <c r="B668" s="9"/>
      <c r="C668" s="37"/>
      <c r="D668" s="27"/>
      <c r="E668" s="151"/>
      <c r="F668" s="28"/>
      <c r="G668" s="29"/>
      <c r="H668" s="38"/>
      <c r="I668" s="32"/>
    </row>
    <row r="669" spans="1:9" x14ac:dyDescent="0.25">
      <c r="A669" s="1"/>
      <c r="B669" s="9"/>
      <c r="C669" s="37"/>
      <c r="D669" s="27"/>
      <c r="E669" s="151"/>
      <c r="F669" s="28"/>
      <c r="G669" s="29"/>
      <c r="H669" s="38"/>
      <c r="I669" s="32"/>
    </row>
    <row r="670" spans="1:9" x14ac:dyDescent="0.25">
      <c r="A670" s="1"/>
      <c r="B670" s="9"/>
      <c r="C670" s="37"/>
      <c r="D670" s="27"/>
      <c r="E670" s="151"/>
      <c r="F670" s="28"/>
      <c r="G670" s="29"/>
      <c r="H670" s="38"/>
      <c r="I670" s="32"/>
    </row>
    <row r="671" spans="1:9" x14ac:dyDescent="0.25">
      <c r="A671" s="1"/>
      <c r="B671" s="9"/>
      <c r="C671" s="37"/>
      <c r="D671" s="27"/>
      <c r="E671" s="151"/>
      <c r="F671" s="28"/>
      <c r="G671" s="29"/>
      <c r="H671" s="38"/>
      <c r="I671" s="32"/>
    </row>
    <row r="672" spans="1:9" x14ac:dyDescent="0.25">
      <c r="A672" s="1"/>
      <c r="B672" s="9"/>
      <c r="C672" s="37"/>
      <c r="D672" s="27"/>
      <c r="E672" s="151"/>
      <c r="F672" s="28"/>
      <c r="G672" s="29"/>
      <c r="H672" s="38"/>
      <c r="I672" s="32"/>
    </row>
    <row r="673" spans="1:9" x14ac:dyDescent="0.25">
      <c r="A673" s="1"/>
      <c r="B673" s="9"/>
      <c r="C673" s="37"/>
      <c r="D673" s="27"/>
      <c r="E673" s="151"/>
      <c r="F673" s="28"/>
      <c r="G673" s="29"/>
      <c r="H673" s="38"/>
      <c r="I673" s="32"/>
    </row>
    <row r="674" spans="1:9" x14ac:dyDescent="0.25">
      <c r="A674" s="1"/>
      <c r="B674" s="9"/>
      <c r="C674" s="37"/>
      <c r="D674" s="27"/>
      <c r="E674" s="151"/>
      <c r="F674" s="28"/>
      <c r="G674" s="29"/>
      <c r="H674" s="38"/>
      <c r="I674" s="32"/>
    </row>
    <row r="675" spans="1:9" x14ac:dyDescent="0.25">
      <c r="A675" s="1"/>
      <c r="B675" s="9"/>
      <c r="C675" s="37"/>
      <c r="D675" s="27"/>
      <c r="E675" s="151"/>
      <c r="F675" s="28"/>
      <c r="G675" s="29"/>
      <c r="H675" s="38"/>
      <c r="I675" s="32"/>
    </row>
    <row r="676" spans="1:9" x14ac:dyDescent="0.25">
      <c r="A676" s="1"/>
      <c r="B676" s="9"/>
      <c r="C676" s="37"/>
      <c r="D676" s="27"/>
      <c r="E676" s="151"/>
      <c r="F676" s="28"/>
      <c r="G676" s="29"/>
      <c r="H676" s="38"/>
      <c r="I676" s="32"/>
    </row>
    <row r="677" spans="1:9" x14ac:dyDescent="0.25">
      <c r="A677" s="1"/>
      <c r="B677" s="9"/>
      <c r="C677" s="37"/>
      <c r="D677" s="27"/>
      <c r="E677" s="151"/>
      <c r="F677" s="28"/>
      <c r="G677" s="29"/>
      <c r="H677" s="38"/>
      <c r="I677" s="32"/>
    </row>
    <row r="678" spans="1:9" x14ac:dyDescent="0.25">
      <c r="A678" s="1"/>
      <c r="B678" s="9"/>
      <c r="C678" s="37"/>
      <c r="D678" s="27"/>
      <c r="E678" s="151"/>
      <c r="F678" s="28"/>
      <c r="G678" s="29"/>
      <c r="H678" s="38"/>
      <c r="I678" s="32"/>
    </row>
    <row r="679" spans="1:9" x14ac:dyDescent="0.25">
      <c r="A679" s="1"/>
      <c r="B679" s="9"/>
      <c r="C679" s="37"/>
      <c r="D679" s="27"/>
      <c r="E679" s="151"/>
      <c r="F679" s="28"/>
      <c r="G679" s="29"/>
      <c r="H679" s="38"/>
      <c r="I679" s="32"/>
    </row>
    <row r="680" spans="1:9" x14ac:dyDescent="0.25">
      <c r="A680" s="1"/>
      <c r="B680" s="9"/>
      <c r="C680" s="37"/>
      <c r="D680" s="27"/>
      <c r="E680" s="151"/>
      <c r="F680" s="28"/>
      <c r="G680" s="29"/>
      <c r="H680" s="38"/>
      <c r="I680" s="32"/>
    </row>
    <row r="681" spans="1:9" x14ac:dyDescent="0.25">
      <c r="A681" s="1"/>
      <c r="B681" s="9"/>
      <c r="C681" s="37"/>
      <c r="D681" s="27"/>
      <c r="E681" s="151"/>
      <c r="F681" s="28"/>
      <c r="G681" s="29"/>
      <c r="H681" s="38"/>
      <c r="I681" s="32"/>
    </row>
    <row r="682" spans="1:9" x14ac:dyDescent="0.25">
      <c r="A682" s="1"/>
      <c r="B682" s="9"/>
      <c r="C682" s="37"/>
      <c r="D682" s="27"/>
      <c r="E682" s="151"/>
      <c r="F682" s="28"/>
      <c r="G682" s="29"/>
      <c r="H682" s="38"/>
      <c r="I682" s="32"/>
    </row>
    <row r="683" spans="1:9" x14ac:dyDescent="0.25">
      <c r="A683" s="1"/>
      <c r="B683" s="9"/>
      <c r="C683" s="37"/>
      <c r="D683" s="27"/>
      <c r="E683" s="151"/>
      <c r="F683" s="28"/>
      <c r="G683" s="29"/>
      <c r="H683" s="38"/>
      <c r="I683" s="32"/>
    </row>
    <row r="684" spans="1:9" x14ac:dyDescent="0.25">
      <c r="A684" s="1"/>
      <c r="B684" s="9"/>
      <c r="C684" s="37"/>
      <c r="D684" s="27"/>
      <c r="E684" s="151"/>
      <c r="F684" s="28"/>
      <c r="G684" s="29"/>
      <c r="H684" s="38"/>
      <c r="I684" s="32"/>
    </row>
    <row r="685" spans="1:9" x14ac:dyDescent="0.25">
      <c r="A685" s="1"/>
      <c r="B685" s="9"/>
      <c r="C685" s="37"/>
      <c r="D685" s="27"/>
      <c r="E685" s="151"/>
      <c r="F685" s="28"/>
      <c r="G685" s="29"/>
      <c r="H685" s="38"/>
      <c r="I685" s="32"/>
    </row>
    <row r="686" spans="1:9" x14ac:dyDescent="0.25">
      <c r="A686" s="1"/>
      <c r="B686" s="9"/>
      <c r="C686" s="37"/>
      <c r="D686" s="27"/>
      <c r="E686" s="151"/>
      <c r="F686" s="28"/>
      <c r="G686" s="29"/>
      <c r="H686" s="38"/>
      <c r="I686" s="32"/>
    </row>
    <row r="687" spans="1:9" x14ac:dyDescent="0.25">
      <c r="A687" s="1"/>
      <c r="B687" s="9"/>
      <c r="C687" s="37"/>
      <c r="D687" s="27"/>
      <c r="E687" s="151"/>
      <c r="F687" s="28"/>
      <c r="G687" s="29"/>
      <c r="H687" s="38"/>
      <c r="I687" s="32"/>
    </row>
    <row r="688" spans="1:9" x14ac:dyDescent="0.25">
      <c r="A688" s="1"/>
      <c r="B688" s="9"/>
      <c r="C688" s="37"/>
      <c r="D688" s="27"/>
      <c r="E688" s="151"/>
      <c r="F688" s="28"/>
      <c r="G688" s="29"/>
      <c r="H688" s="38"/>
      <c r="I688" s="32"/>
    </row>
    <row r="689" spans="1:9" x14ac:dyDescent="0.25">
      <c r="A689" s="1"/>
      <c r="B689" s="9"/>
      <c r="C689" s="37"/>
      <c r="D689" s="27"/>
      <c r="E689" s="151"/>
      <c r="F689" s="28"/>
      <c r="G689" s="29"/>
      <c r="H689" s="38"/>
      <c r="I689" s="32"/>
    </row>
    <row r="690" spans="1:9" x14ac:dyDescent="0.25">
      <c r="A690" s="1"/>
      <c r="B690" s="9"/>
      <c r="C690" s="37"/>
      <c r="D690" s="27"/>
      <c r="E690" s="151"/>
      <c r="F690" s="28"/>
      <c r="G690" s="29"/>
      <c r="H690" s="38"/>
      <c r="I690" s="32"/>
    </row>
    <row r="691" spans="1:9" x14ac:dyDescent="0.25">
      <c r="A691" s="1"/>
      <c r="B691" s="9"/>
      <c r="C691" s="37"/>
      <c r="D691" s="27"/>
      <c r="E691" s="151"/>
      <c r="F691" s="28"/>
      <c r="G691" s="29"/>
      <c r="H691" s="38"/>
      <c r="I691" s="32"/>
    </row>
    <row r="692" spans="1:9" x14ac:dyDescent="0.25">
      <c r="A692" s="1"/>
      <c r="B692" s="9"/>
      <c r="C692" s="37"/>
      <c r="D692" s="27"/>
      <c r="E692" s="151"/>
      <c r="F692" s="28"/>
      <c r="G692" s="29"/>
      <c r="H692" s="38"/>
      <c r="I692" s="32"/>
    </row>
    <row r="693" spans="1:9" x14ac:dyDescent="0.25">
      <c r="A693" s="1"/>
      <c r="B693" s="9"/>
      <c r="C693" s="37"/>
      <c r="D693" s="27"/>
      <c r="E693" s="151"/>
      <c r="F693" s="28"/>
      <c r="G693" s="29"/>
      <c r="H693" s="38"/>
      <c r="I693" s="32"/>
    </row>
    <row r="694" spans="1:9" x14ac:dyDescent="0.25">
      <c r="A694" s="1"/>
      <c r="B694" s="9"/>
      <c r="C694" s="37"/>
      <c r="D694" s="27"/>
      <c r="E694" s="151"/>
      <c r="F694" s="28"/>
      <c r="G694" s="29"/>
      <c r="H694" s="38"/>
      <c r="I694" s="32"/>
    </row>
    <row r="695" spans="1:9" x14ac:dyDescent="0.25">
      <c r="A695" s="1"/>
      <c r="B695" s="9"/>
      <c r="C695" s="37"/>
      <c r="D695" s="27"/>
      <c r="E695" s="151"/>
      <c r="F695" s="28"/>
      <c r="G695" s="29"/>
      <c r="H695" s="38"/>
      <c r="I695" s="32"/>
    </row>
    <row r="696" spans="1:9" x14ac:dyDescent="0.25">
      <c r="A696" s="1"/>
      <c r="B696" s="9"/>
      <c r="C696" s="37"/>
      <c r="D696" s="27"/>
      <c r="E696" s="151"/>
      <c r="F696" s="28"/>
      <c r="G696" s="29"/>
      <c r="H696" s="38"/>
      <c r="I696" s="32"/>
    </row>
    <row r="697" spans="1:9" x14ac:dyDescent="0.25">
      <c r="A697" s="1"/>
      <c r="B697" s="9"/>
      <c r="C697" s="37"/>
      <c r="D697" s="27"/>
      <c r="E697" s="151"/>
      <c r="F697" s="28"/>
      <c r="G697" s="29"/>
      <c r="H697" s="38"/>
      <c r="I697" s="32"/>
    </row>
    <row r="698" spans="1:9" x14ac:dyDescent="0.25">
      <c r="A698" s="1"/>
      <c r="B698" s="9"/>
      <c r="C698" s="37"/>
      <c r="D698" s="27"/>
      <c r="E698" s="151"/>
      <c r="F698" s="28"/>
      <c r="G698" s="29"/>
      <c r="H698" s="38"/>
      <c r="I698" s="32"/>
    </row>
    <row r="699" spans="1:9" x14ac:dyDescent="0.25">
      <c r="A699" s="1"/>
      <c r="B699" s="9"/>
      <c r="C699" s="37"/>
      <c r="D699" s="27"/>
      <c r="E699" s="151"/>
      <c r="F699" s="28"/>
      <c r="G699" s="29"/>
      <c r="H699" s="38"/>
      <c r="I699" s="32"/>
    </row>
    <row r="700" spans="1:9" x14ac:dyDescent="0.25">
      <c r="A700" s="1"/>
      <c r="B700" s="9"/>
      <c r="C700" s="37"/>
      <c r="D700" s="27"/>
      <c r="E700" s="151"/>
      <c r="F700" s="28"/>
      <c r="G700" s="29"/>
      <c r="H700" s="38"/>
      <c r="I700" s="32"/>
    </row>
    <row r="701" spans="1:9" x14ac:dyDescent="0.25">
      <c r="A701" s="1"/>
      <c r="B701" s="9"/>
      <c r="C701" s="37"/>
      <c r="D701" s="27"/>
      <c r="E701" s="151"/>
      <c r="F701" s="28"/>
      <c r="G701" s="29"/>
      <c r="H701" s="38"/>
      <c r="I701" s="32"/>
    </row>
    <row r="702" spans="1:9" x14ac:dyDescent="0.25">
      <c r="A702" s="1"/>
      <c r="B702" s="9"/>
      <c r="C702" s="37"/>
      <c r="D702" s="27"/>
      <c r="E702" s="151"/>
      <c r="F702" s="28"/>
      <c r="G702" s="29"/>
      <c r="H702" s="38"/>
      <c r="I702" s="32"/>
    </row>
    <row r="703" spans="1:9" x14ac:dyDescent="0.25">
      <c r="A703" s="1"/>
      <c r="B703" s="9"/>
      <c r="C703" s="37"/>
      <c r="D703" s="27"/>
      <c r="E703" s="151"/>
      <c r="F703" s="28"/>
      <c r="G703" s="29"/>
      <c r="H703" s="38"/>
      <c r="I703" s="32"/>
    </row>
    <row r="704" spans="1:9" x14ac:dyDescent="0.25">
      <c r="A704" s="1"/>
      <c r="B704" s="9"/>
      <c r="C704" s="37"/>
      <c r="D704" s="27"/>
      <c r="E704" s="151"/>
      <c r="F704" s="28"/>
      <c r="G704" s="29"/>
      <c r="H704" s="38"/>
      <c r="I704" s="32"/>
    </row>
    <row r="705" spans="1:9" x14ac:dyDescent="0.25">
      <c r="A705" s="1"/>
      <c r="B705" s="9"/>
      <c r="C705" s="37"/>
      <c r="D705" s="27"/>
      <c r="E705" s="151"/>
      <c r="F705" s="28"/>
      <c r="G705" s="29"/>
      <c r="H705" s="38"/>
      <c r="I705" s="32"/>
    </row>
    <row r="706" spans="1:9" x14ac:dyDescent="0.25">
      <c r="A706" s="1"/>
      <c r="B706" s="9"/>
      <c r="C706" s="37"/>
      <c r="D706" s="27"/>
      <c r="E706" s="151"/>
      <c r="F706" s="28"/>
      <c r="G706" s="29"/>
      <c r="H706" s="38"/>
      <c r="I706" s="32"/>
    </row>
    <row r="707" spans="1:9" x14ac:dyDescent="0.25">
      <c r="A707" s="1"/>
      <c r="B707" s="9"/>
      <c r="C707" s="37"/>
      <c r="D707" s="27"/>
      <c r="E707" s="151"/>
      <c r="F707" s="28"/>
      <c r="G707" s="29"/>
      <c r="H707" s="38"/>
      <c r="I707" s="32"/>
    </row>
    <row r="708" spans="1:9" x14ac:dyDescent="0.25">
      <c r="A708" s="1"/>
      <c r="B708" s="9"/>
      <c r="C708" s="37"/>
      <c r="D708" s="27"/>
      <c r="E708" s="151"/>
      <c r="F708" s="28"/>
      <c r="G708" s="29"/>
      <c r="H708" s="38"/>
      <c r="I708" s="32"/>
    </row>
    <row r="709" spans="1:9" x14ac:dyDescent="0.25">
      <c r="A709" s="1"/>
      <c r="B709" s="9"/>
      <c r="C709" s="37"/>
      <c r="D709" s="27"/>
      <c r="E709" s="151"/>
      <c r="F709" s="28"/>
      <c r="G709" s="29"/>
      <c r="H709" s="38"/>
      <c r="I709" s="32"/>
    </row>
    <row r="710" spans="1:9" x14ac:dyDescent="0.25">
      <c r="A710" s="1"/>
      <c r="B710" s="9"/>
      <c r="C710" s="37"/>
      <c r="D710" s="27"/>
      <c r="E710" s="151"/>
      <c r="F710" s="28"/>
      <c r="G710" s="29"/>
      <c r="H710" s="38"/>
      <c r="I710" s="32"/>
    </row>
    <row r="711" spans="1:9" x14ac:dyDescent="0.25">
      <c r="A711" s="1"/>
      <c r="B711" s="9"/>
      <c r="C711" s="37"/>
      <c r="D711" s="27"/>
      <c r="E711" s="151"/>
      <c r="F711" s="28"/>
      <c r="G711" s="29"/>
      <c r="H711" s="38"/>
      <c r="I711" s="32"/>
    </row>
    <row r="712" spans="1:9" x14ac:dyDescent="0.25">
      <c r="A712" s="1"/>
      <c r="B712" s="9"/>
      <c r="C712" s="37"/>
      <c r="D712" s="27"/>
      <c r="E712" s="151"/>
      <c r="F712" s="28"/>
      <c r="G712" s="29"/>
      <c r="H712" s="38"/>
      <c r="I712" s="32"/>
    </row>
    <row r="713" spans="1:9" x14ac:dyDescent="0.25">
      <c r="A713" s="1"/>
      <c r="B713" s="9"/>
      <c r="C713" s="37"/>
      <c r="D713" s="27"/>
      <c r="E713" s="151"/>
      <c r="F713" s="28"/>
      <c r="G713" s="29"/>
      <c r="H713" s="38"/>
      <c r="I713" s="32"/>
    </row>
    <row r="714" spans="1:9" x14ac:dyDescent="0.25">
      <c r="A714" s="1"/>
      <c r="B714" s="9"/>
      <c r="C714" s="37"/>
      <c r="D714" s="27"/>
      <c r="E714" s="151"/>
      <c r="F714" s="28"/>
      <c r="G714" s="29"/>
      <c r="H714" s="38"/>
      <c r="I714" s="32"/>
    </row>
    <row r="715" spans="1:9" x14ac:dyDescent="0.25">
      <c r="A715" s="1"/>
      <c r="B715" s="9"/>
      <c r="C715" s="37"/>
      <c r="D715" s="27"/>
      <c r="E715" s="151"/>
      <c r="F715" s="28"/>
      <c r="G715" s="29"/>
      <c r="H715" s="38"/>
      <c r="I715" s="32"/>
    </row>
    <row r="716" spans="1:9" x14ac:dyDescent="0.25">
      <c r="A716" s="1"/>
      <c r="B716" s="9"/>
      <c r="C716" s="37"/>
      <c r="D716" s="27"/>
      <c r="E716" s="151"/>
      <c r="F716" s="28"/>
      <c r="G716" s="29"/>
      <c r="H716" s="38"/>
      <c r="I716" s="32"/>
    </row>
    <row r="717" spans="1:9" x14ac:dyDescent="0.25">
      <c r="A717" s="1"/>
      <c r="B717" s="9"/>
      <c r="C717" s="37"/>
      <c r="D717" s="27"/>
      <c r="E717" s="151"/>
      <c r="F717" s="28"/>
      <c r="G717" s="29"/>
      <c r="H717" s="38"/>
      <c r="I717" s="32"/>
    </row>
    <row r="718" spans="1:9" x14ac:dyDescent="0.25">
      <c r="A718" s="1"/>
      <c r="B718" s="9"/>
      <c r="C718" s="37"/>
      <c r="D718" s="27"/>
      <c r="E718" s="151"/>
      <c r="F718" s="28"/>
      <c r="G718" s="29"/>
      <c r="H718" s="38"/>
      <c r="I718" s="32"/>
    </row>
    <row r="719" spans="1:9" x14ac:dyDescent="0.25">
      <c r="A719" s="1"/>
      <c r="B719" s="9"/>
      <c r="C719" s="37"/>
      <c r="D719" s="27"/>
      <c r="E719" s="151"/>
      <c r="F719" s="28"/>
      <c r="G719" s="29"/>
      <c r="H719" s="38"/>
      <c r="I719" s="32"/>
    </row>
    <row r="720" spans="1:9" x14ac:dyDescent="0.25">
      <c r="A720" s="1"/>
      <c r="B720" s="9"/>
      <c r="C720" s="37"/>
      <c r="D720" s="27"/>
      <c r="E720" s="151"/>
      <c r="F720" s="28"/>
      <c r="G720" s="29"/>
      <c r="H720" s="38"/>
      <c r="I720" s="32"/>
    </row>
    <row r="721" spans="1:9" x14ac:dyDescent="0.25">
      <c r="A721" s="1"/>
      <c r="B721" s="9"/>
      <c r="C721" s="37"/>
      <c r="D721" s="27"/>
      <c r="E721" s="151"/>
      <c r="F721" s="28"/>
      <c r="G721" s="29"/>
      <c r="H721" s="38"/>
      <c r="I721" s="32"/>
    </row>
    <row r="722" spans="1:9" x14ac:dyDescent="0.25">
      <c r="A722" s="1"/>
      <c r="B722" s="9"/>
      <c r="C722" s="37"/>
      <c r="D722" s="27"/>
      <c r="E722" s="151"/>
      <c r="F722" s="28"/>
      <c r="G722" s="29"/>
      <c r="H722" s="38"/>
      <c r="I722" s="32"/>
    </row>
    <row r="723" spans="1:9" x14ac:dyDescent="0.25">
      <c r="A723" s="1"/>
      <c r="B723" s="9"/>
      <c r="C723" s="37"/>
      <c r="D723" s="27"/>
      <c r="E723" s="151"/>
      <c r="F723" s="28"/>
      <c r="G723" s="29"/>
      <c r="H723" s="38"/>
      <c r="I723" s="32"/>
    </row>
    <row r="724" spans="1:9" x14ac:dyDescent="0.25">
      <c r="A724" s="1"/>
      <c r="B724" s="9"/>
      <c r="C724" s="37"/>
      <c r="D724" s="27"/>
      <c r="E724" s="151"/>
      <c r="F724" s="28"/>
      <c r="G724" s="29"/>
      <c r="H724" s="38"/>
      <c r="I724" s="32"/>
    </row>
    <row r="725" spans="1:9" x14ac:dyDescent="0.25">
      <c r="A725" s="1"/>
      <c r="B725" s="9"/>
      <c r="C725" s="37"/>
      <c r="D725" s="27"/>
      <c r="E725" s="151"/>
      <c r="F725" s="28"/>
      <c r="G725" s="29"/>
      <c r="H725" s="38"/>
      <c r="I725" s="32"/>
    </row>
    <row r="726" spans="1:9" x14ac:dyDescent="0.25">
      <c r="A726" s="1"/>
      <c r="B726" s="9"/>
      <c r="C726" s="37"/>
      <c r="D726" s="27"/>
      <c r="E726" s="151"/>
      <c r="F726" s="28"/>
      <c r="G726" s="29"/>
      <c r="H726" s="38"/>
      <c r="I726" s="32"/>
    </row>
    <row r="727" spans="1:9" x14ac:dyDescent="0.25">
      <c r="A727" s="1"/>
      <c r="B727" s="9"/>
      <c r="C727" s="37"/>
      <c r="D727" s="27"/>
      <c r="E727" s="151"/>
      <c r="F727" s="28"/>
      <c r="G727" s="29"/>
      <c r="H727" s="38"/>
      <c r="I727" s="32"/>
    </row>
    <row r="728" spans="1:9" x14ac:dyDescent="0.25">
      <c r="A728" s="1"/>
      <c r="B728" s="9"/>
      <c r="C728" s="37"/>
      <c r="D728" s="27"/>
      <c r="E728" s="151"/>
      <c r="F728" s="28"/>
      <c r="G728" s="29"/>
      <c r="H728" s="38"/>
      <c r="I728" s="32"/>
    </row>
    <row r="729" spans="1:9" x14ac:dyDescent="0.25">
      <c r="A729" s="1"/>
      <c r="B729" s="9"/>
      <c r="C729" s="37"/>
      <c r="D729" s="27"/>
      <c r="E729" s="151"/>
      <c r="F729" s="28"/>
      <c r="G729" s="29"/>
      <c r="H729" s="38"/>
      <c r="I729" s="32"/>
    </row>
    <row r="730" spans="1:9" x14ac:dyDescent="0.25">
      <c r="A730" s="1"/>
      <c r="B730" s="9"/>
      <c r="C730" s="37"/>
      <c r="D730" s="27"/>
      <c r="E730" s="151"/>
      <c r="F730" s="28"/>
      <c r="G730" s="29"/>
      <c r="H730" s="38"/>
      <c r="I730" s="32"/>
    </row>
    <row r="731" spans="1:9" x14ac:dyDescent="0.25">
      <c r="A731" s="1"/>
      <c r="B731" s="9"/>
      <c r="C731" s="37"/>
      <c r="D731" s="27"/>
      <c r="E731" s="151"/>
      <c r="F731" s="28"/>
      <c r="G731" s="29"/>
      <c r="H731" s="38"/>
      <c r="I731" s="32"/>
    </row>
    <row r="732" spans="1:9" x14ac:dyDescent="0.25">
      <c r="A732" s="1"/>
      <c r="B732" s="9"/>
      <c r="C732" s="37"/>
      <c r="D732" s="27"/>
      <c r="E732" s="151"/>
      <c r="F732" s="28"/>
      <c r="G732" s="29"/>
      <c r="H732" s="38"/>
      <c r="I732" s="32"/>
    </row>
    <row r="733" spans="1:9" x14ac:dyDescent="0.25">
      <c r="A733" s="1"/>
      <c r="B733" s="9"/>
      <c r="C733" s="37"/>
      <c r="D733" s="27"/>
      <c r="E733" s="151"/>
      <c r="F733" s="28"/>
      <c r="G733" s="29"/>
      <c r="H733" s="38"/>
      <c r="I733" s="32"/>
    </row>
    <row r="734" spans="1:9" x14ac:dyDescent="0.25">
      <c r="A734" s="1"/>
      <c r="B734" s="9"/>
      <c r="C734" s="37"/>
      <c r="D734" s="27"/>
      <c r="E734" s="151"/>
      <c r="F734" s="28"/>
      <c r="G734" s="29"/>
      <c r="H734" s="38"/>
      <c r="I734" s="32"/>
    </row>
    <row r="735" spans="1:9" x14ac:dyDescent="0.25">
      <c r="A735" s="1"/>
      <c r="B735" s="9"/>
      <c r="C735" s="37"/>
      <c r="D735" s="27"/>
      <c r="E735" s="151"/>
      <c r="F735" s="28"/>
      <c r="G735" s="29"/>
      <c r="H735" s="38"/>
      <c r="I735" s="32"/>
    </row>
    <row r="736" spans="1:9" x14ac:dyDescent="0.25">
      <c r="A736" s="1"/>
      <c r="B736" s="9"/>
      <c r="C736" s="37"/>
      <c r="D736" s="27"/>
      <c r="E736" s="151"/>
      <c r="F736" s="28"/>
      <c r="G736" s="29"/>
      <c r="H736" s="38"/>
      <c r="I736" s="32"/>
    </row>
    <row r="737" spans="1:9" x14ac:dyDescent="0.25">
      <c r="A737" s="1"/>
      <c r="B737" s="9"/>
      <c r="C737" s="37"/>
      <c r="D737" s="27"/>
      <c r="E737" s="151"/>
      <c r="F737" s="28"/>
      <c r="G737" s="29"/>
      <c r="H737" s="38"/>
      <c r="I737" s="32"/>
    </row>
    <row r="738" spans="1:9" x14ac:dyDescent="0.25">
      <c r="A738" s="1"/>
      <c r="B738" s="9"/>
      <c r="C738" s="37"/>
      <c r="D738" s="27"/>
      <c r="E738" s="151"/>
      <c r="F738" s="28"/>
      <c r="G738" s="29"/>
      <c r="H738" s="38"/>
      <c r="I738" s="32"/>
    </row>
    <row r="739" spans="1:9" x14ac:dyDescent="0.25">
      <c r="A739" s="1"/>
      <c r="B739" s="9"/>
      <c r="C739" s="37"/>
      <c r="D739" s="27"/>
      <c r="E739" s="151"/>
      <c r="F739" s="28"/>
      <c r="G739" s="29"/>
      <c r="H739" s="38"/>
      <c r="I739" s="32"/>
    </row>
    <row r="740" spans="1:9" x14ac:dyDescent="0.25">
      <c r="A740" s="1"/>
      <c r="B740" s="9"/>
      <c r="C740" s="37"/>
      <c r="D740" s="27"/>
      <c r="E740" s="151"/>
      <c r="F740" s="28"/>
      <c r="G740" s="29"/>
      <c r="H740" s="38"/>
      <c r="I740" s="32"/>
    </row>
    <row r="741" spans="1:9" x14ac:dyDescent="0.25">
      <c r="A741" s="1"/>
      <c r="B741" s="9"/>
      <c r="C741" s="37"/>
      <c r="D741" s="27"/>
      <c r="E741" s="151"/>
      <c r="F741" s="28"/>
      <c r="G741" s="29"/>
      <c r="H741" s="38"/>
      <c r="I741" s="32"/>
    </row>
    <row r="742" spans="1:9" x14ac:dyDescent="0.25">
      <c r="A742" s="1"/>
      <c r="B742" s="9"/>
      <c r="C742" s="37"/>
      <c r="D742" s="27"/>
      <c r="E742" s="151"/>
      <c r="F742" s="28"/>
      <c r="G742" s="29"/>
      <c r="H742" s="38"/>
      <c r="I742" s="32"/>
    </row>
    <row r="743" spans="1:9" x14ac:dyDescent="0.25">
      <c r="A743" s="1"/>
      <c r="B743" s="9"/>
      <c r="C743" s="37"/>
      <c r="D743" s="27"/>
      <c r="E743" s="151"/>
      <c r="F743" s="28"/>
      <c r="G743" s="29"/>
      <c r="H743" s="38"/>
      <c r="I743" s="32"/>
    </row>
    <row r="744" spans="1:9" x14ac:dyDescent="0.25">
      <c r="A744" s="1"/>
      <c r="B744" s="9"/>
      <c r="C744" s="37"/>
      <c r="D744" s="27"/>
      <c r="E744" s="151"/>
      <c r="F744" s="28"/>
      <c r="G744" s="29"/>
      <c r="H744" s="38"/>
      <c r="I744" s="32"/>
    </row>
    <row r="745" spans="1:9" x14ac:dyDescent="0.25">
      <c r="A745" s="1"/>
      <c r="B745" s="9"/>
      <c r="C745" s="37"/>
      <c r="D745" s="27"/>
      <c r="E745" s="151"/>
      <c r="F745" s="28"/>
      <c r="G745" s="29"/>
      <c r="H745" s="38"/>
      <c r="I745" s="32"/>
    </row>
    <row r="746" spans="1:9" x14ac:dyDescent="0.25">
      <c r="A746" s="1"/>
      <c r="B746" s="9"/>
      <c r="C746" s="37"/>
      <c r="D746" s="27"/>
      <c r="E746" s="151"/>
      <c r="F746" s="28"/>
      <c r="G746" s="29"/>
      <c r="H746" s="38"/>
      <c r="I746" s="32"/>
    </row>
    <row r="747" spans="1:9" x14ac:dyDescent="0.25">
      <c r="A747" s="1"/>
      <c r="B747" s="9"/>
      <c r="C747" s="37"/>
      <c r="D747" s="27"/>
      <c r="E747" s="151"/>
      <c r="F747" s="28"/>
      <c r="G747" s="29"/>
      <c r="H747" s="38"/>
      <c r="I747" s="32"/>
    </row>
    <row r="748" spans="1:9" x14ac:dyDescent="0.25">
      <c r="A748" s="1"/>
      <c r="B748" s="9"/>
      <c r="C748" s="37"/>
      <c r="D748" s="27"/>
      <c r="E748" s="151"/>
      <c r="F748" s="28"/>
      <c r="G748" s="29"/>
      <c r="H748" s="38"/>
      <c r="I748" s="32"/>
    </row>
    <row r="749" spans="1:9" x14ac:dyDescent="0.25">
      <c r="A749" s="1"/>
      <c r="B749" s="9"/>
      <c r="C749" s="37"/>
      <c r="D749" s="27"/>
      <c r="E749" s="151"/>
      <c r="F749" s="28"/>
      <c r="G749" s="29"/>
      <c r="H749" s="38"/>
      <c r="I749" s="32"/>
    </row>
    <row r="750" spans="1:9" x14ac:dyDescent="0.25">
      <c r="A750" s="1"/>
      <c r="B750" s="9"/>
      <c r="C750" s="37"/>
      <c r="D750" s="27"/>
      <c r="E750" s="151"/>
      <c r="F750" s="28"/>
      <c r="G750" s="29"/>
      <c r="H750" s="38"/>
      <c r="I750" s="32"/>
    </row>
    <row r="751" spans="1:9" x14ac:dyDescent="0.25">
      <c r="A751" s="1"/>
      <c r="B751" s="9"/>
      <c r="C751" s="37"/>
      <c r="D751" s="27"/>
      <c r="E751" s="151"/>
      <c r="F751" s="28"/>
      <c r="G751" s="29"/>
      <c r="H751" s="38"/>
      <c r="I751" s="32"/>
    </row>
    <row r="752" spans="1:9" x14ac:dyDescent="0.25">
      <c r="A752" s="1"/>
      <c r="B752" s="9"/>
      <c r="C752" s="37"/>
      <c r="D752" s="27"/>
      <c r="E752" s="151"/>
      <c r="F752" s="28"/>
      <c r="G752" s="29"/>
      <c r="H752" s="38"/>
      <c r="I752" s="32"/>
    </row>
    <row r="753" spans="1:9" x14ac:dyDescent="0.25">
      <c r="A753" s="1"/>
      <c r="B753" s="9"/>
      <c r="C753" s="37"/>
      <c r="D753" s="27"/>
      <c r="E753" s="151"/>
      <c r="F753" s="28"/>
      <c r="G753" s="29"/>
      <c r="H753" s="38"/>
      <c r="I753" s="32"/>
    </row>
    <row r="754" spans="1:9" x14ac:dyDescent="0.25">
      <c r="A754" s="1"/>
      <c r="B754" s="9"/>
      <c r="C754" s="37"/>
      <c r="D754" s="27"/>
      <c r="E754" s="151"/>
      <c r="F754" s="28"/>
      <c r="G754" s="29"/>
      <c r="H754" s="38"/>
      <c r="I754" s="32"/>
    </row>
    <row r="755" spans="1:9" x14ac:dyDescent="0.25">
      <c r="A755" s="1"/>
      <c r="B755" s="9"/>
      <c r="C755" s="37"/>
      <c r="D755" s="27"/>
      <c r="E755" s="151"/>
      <c r="F755" s="28"/>
      <c r="G755" s="29"/>
      <c r="H755" s="38"/>
      <c r="I755" s="32"/>
    </row>
    <row r="756" spans="1:9" x14ac:dyDescent="0.25">
      <c r="A756" s="1"/>
      <c r="B756" s="9"/>
      <c r="C756" s="37"/>
      <c r="D756" s="27"/>
      <c r="E756" s="151"/>
      <c r="F756" s="28"/>
      <c r="G756" s="29"/>
      <c r="H756" s="38"/>
      <c r="I756" s="32"/>
    </row>
    <row r="757" spans="1:9" x14ac:dyDescent="0.25">
      <c r="A757" s="1"/>
      <c r="B757" s="9"/>
      <c r="C757" s="37"/>
      <c r="D757" s="27"/>
      <c r="E757" s="151"/>
      <c r="F757" s="28"/>
      <c r="G757" s="29"/>
      <c r="H757" s="38"/>
      <c r="I757" s="32"/>
    </row>
    <row r="758" spans="1:9" x14ac:dyDescent="0.25">
      <c r="A758" s="1"/>
      <c r="B758" s="9"/>
      <c r="C758" s="37"/>
      <c r="D758" s="27"/>
      <c r="E758" s="151"/>
      <c r="F758" s="28"/>
      <c r="G758" s="29"/>
      <c r="H758" s="38"/>
      <c r="I758" s="32"/>
    </row>
    <row r="759" spans="1:9" x14ac:dyDescent="0.25">
      <c r="A759" s="1"/>
      <c r="B759" s="9"/>
      <c r="C759" s="37"/>
      <c r="D759" s="27"/>
      <c r="E759" s="151"/>
      <c r="F759" s="28"/>
      <c r="G759" s="29"/>
      <c r="H759" s="38"/>
      <c r="I759" s="32"/>
    </row>
    <row r="760" spans="1:9" x14ac:dyDescent="0.25">
      <c r="A760" s="1"/>
      <c r="B760" s="9"/>
      <c r="C760" s="37"/>
      <c r="D760" s="27"/>
      <c r="E760" s="151"/>
      <c r="F760" s="28"/>
      <c r="G760" s="29"/>
      <c r="H760" s="38"/>
      <c r="I760" s="32"/>
    </row>
    <row r="761" spans="1:9" x14ac:dyDescent="0.25">
      <c r="A761" s="1"/>
      <c r="B761" s="9"/>
      <c r="C761" s="37"/>
      <c r="D761" s="27"/>
      <c r="E761" s="151"/>
      <c r="F761" s="28"/>
      <c r="G761" s="29"/>
      <c r="H761" s="38"/>
      <c r="I761" s="32"/>
    </row>
    <row r="762" spans="1:9" x14ac:dyDescent="0.25">
      <c r="A762" s="1"/>
      <c r="B762" s="9"/>
      <c r="C762" s="37"/>
      <c r="D762" s="27"/>
      <c r="E762" s="151"/>
      <c r="F762" s="28"/>
      <c r="G762" s="29"/>
      <c r="H762" s="38"/>
      <c r="I762" s="32"/>
    </row>
    <row r="763" spans="1:9" x14ac:dyDescent="0.25">
      <c r="A763" s="1"/>
      <c r="B763" s="9"/>
      <c r="C763" s="37"/>
      <c r="D763" s="27"/>
      <c r="E763" s="151"/>
      <c r="F763" s="28"/>
      <c r="G763" s="29"/>
      <c r="H763" s="38"/>
      <c r="I763" s="32"/>
    </row>
    <row r="764" spans="1:9" x14ac:dyDescent="0.25">
      <c r="A764" s="1"/>
      <c r="B764" s="9"/>
      <c r="C764" s="37"/>
      <c r="D764" s="27"/>
      <c r="E764" s="151"/>
      <c r="F764" s="28"/>
      <c r="G764" s="29"/>
      <c r="H764" s="38"/>
      <c r="I764" s="32"/>
    </row>
    <row r="765" spans="1:9" x14ac:dyDescent="0.25">
      <c r="A765" s="1"/>
      <c r="B765" s="9"/>
      <c r="C765" s="37"/>
      <c r="D765" s="27"/>
      <c r="E765" s="151"/>
      <c r="F765" s="28"/>
      <c r="G765" s="29"/>
      <c r="H765" s="38"/>
      <c r="I765" s="32"/>
    </row>
    <row r="766" spans="1:9" x14ac:dyDescent="0.25">
      <c r="A766" s="1"/>
      <c r="B766" s="9"/>
      <c r="C766" s="37"/>
      <c r="D766" s="27"/>
      <c r="E766" s="151"/>
      <c r="F766" s="28"/>
      <c r="G766" s="29"/>
      <c r="H766" s="38"/>
      <c r="I766" s="32"/>
    </row>
    <row r="767" spans="1:9" x14ac:dyDescent="0.25">
      <c r="A767" s="1"/>
      <c r="B767" s="9"/>
      <c r="C767" s="37"/>
      <c r="D767" s="27"/>
      <c r="E767" s="151"/>
      <c r="F767" s="28"/>
      <c r="G767" s="29"/>
      <c r="H767" s="38"/>
      <c r="I767" s="32"/>
    </row>
    <row r="768" spans="1:9" x14ac:dyDescent="0.25">
      <c r="A768" s="1"/>
      <c r="B768" s="9"/>
      <c r="C768" s="37"/>
      <c r="D768" s="27"/>
      <c r="E768" s="151"/>
      <c r="F768" s="28"/>
      <c r="G768" s="29"/>
      <c r="H768" s="38"/>
      <c r="I768" s="32"/>
    </row>
    <row r="769" spans="1:9" x14ac:dyDescent="0.25">
      <c r="A769" s="1"/>
      <c r="B769" s="9"/>
      <c r="C769" s="37"/>
      <c r="D769" s="27"/>
      <c r="E769" s="151"/>
      <c r="F769" s="28"/>
      <c r="G769" s="29"/>
      <c r="H769" s="38"/>
      <c r="I769" s="32"/>
    </row>
    <row r="770" spans="1:9" x14ac:dyDescent="0.25">
      <c r="A770" s="1"/>
      <c r="B770" s="9"/>
      <c r="C770" s="37"/>
      <c r="D770" s="27"/>
      <c r="E770" s="151"/>
      <c r="F770" s="28"/>
      <c r="G770" s="29"/>
      <c r="H770" s="38"/>
      <c r="I770" s="32"/>
    </row>
    <row r="771" spans="1:9" x14ac:dyDescent="0.25">
      <c r="A771" s="1"/>
      <c r="B771" s="9"/>
      <c r="C771" s="37"/>
      <c r="D771" s="27"/>
      <c r="E771" s="151"/>
      <c r="F771" s="28"/>
      <c r="G771" s="29"/>
      <c r="H771" s="38"/>
      <c r="I771" s="32"/>
    </row>
    <row r="772" spans="1:9" x14ac:dyDescent="0.25">
      <c r="A772" s="1"/>
      <c r="B772" s="9"/>
      <c r="C772" s="37"/>
      <c r="D772" s="27"/>
      <c r="E772" s="151"/>
      <c r="F772" s="28"/>
      <c r="G772" s="29"/>
      <c r="H772" s="38"/>
      <c r="I772" s="32"/>
    </row>
    <row r="773" spans="1:9" x14ac:dyDescent="0.25">
      <c r="A773" s="1"/>
      <c r="B773" s="9"/>
      <c r="C773" s="37"/>
      <c r="D773" s="27"/>
      <c r="E773" s="151"/>
      <c r="F773" s="28"/>
      <c r="G773" s="29"/>
      <c r="H773" s="38"/>
      <c r="I773" s="32"/>
    </row>
    <row r="774" spans="1:9" x14ac:dyDescent="0.25">
      <c r="A774" s="1"/>
      <c r="B774" s="9"/>
      <c r="C774" s="37"/>
      <c r="D774" s="27"/>
      <c r="E774" s="151"/>
      <c r="F774" s="28"/>
      <c r="G774" s="29"/>
      <c r="H774" s="38"/>
      <c r="I774" s="32"/>
    </row>
    <row r="775" spans="1:9" x14ac:dyDescent="0.25">
      <c r="A775" s="1"/>
      <c r="B775" s="9"/>
      <c r="C775" s="37"/>
      <c r="D775" s="27"/>
      <c r="E775" s="151"/>
      <c r="F775" s="28"/>
      <c r="G775" s="29"/>
      <c r="H775" s="38"/>
      <c r="I775" s="32"/>
    </row>
    <row r="776" spans="1:9" x14ac:dyDescent="0.25">
      <c r="A776" s="1"/>
      <c r="B776" s="9"/>
      <c r="C776" s="37"/>
      <c r="D776" s="27"/>
      <c r="E776" s="151"/>
      <c r="F776" s="28"/>
      <c r="G776" s="29"/>
      <c r="H776" s="38"/>
      <c r="I776" s="32"/>
    </row>
    <row r="777" spans="1:9" x14ac:dyDescent="0.25">
      <c r="A777" s="1"/>
      <c r="B777" s="9"/>
      <c r="C777" s="37"/>
      <c r="D777" s="27"/>
      <c r="E777" s="151"/>
      <c r="F777" s="28"/>
      <c r="G777" s="29"/>
      <c r="H777" s="38"/>
      <c r="I777" s="32"/>
    </row>
    <row r="778" spans="1:9" x14ac:dyDescent="0.25">
      <c r="A778" s="1"/>
      <c r="B778" s="9"/>
      <c r="C778" s="37"/>
      <c r="D778" s="27"/>
      <c r="E778" s="151"/>
      <c r="F778" s="28"/>
      <c r="G778" s="29"/>
      <c r="H778" s="38"/>
      <c r="I778" s="32"/>
    </row>
    <row r="779" spans="1:9" x14ac:dyDescent="0.25">
      <c r="A779" s="1"/>
      <c r="B779" s="9"/>
      <c r="C779" s="37"/>
      <c r="D779" s="27"/>
      <c r="E779" s="151"/>
      <c r="F779" s="28"/>
      <c r="G779" s="29"/>
      <c r="H779" s="38"/>
      <c r="I779" s="32"/>
    </row>
    <row r="780" spans="1:9" x14ac:dyDescent="0.25">
      <c r="A780" s="1"/>
      <c r="B780" s="9"/>
      <c r="C780" s="37"/>
      <c r="D780" s="27"/>
      <c r="E780" s="151"/>
      <c r="F780" s="28"/>
      <c r="G780" s="29"/>
      <c r="H780" s="38"/>
      <c r="I780" s="32"/>
    </row>
    <row r="781" spans="1:9" x14ac:dyDescent="0.25">
      <c r="A781" s="1"/>
      <c r="B781" s="9"/>
      <c r="C781" s="37"/>
      <c r="D781" s="27"/>
      <c r="E781" s="151"/>
      <c r="F781" s="28"/>
      <c r="G781" s="29"/>
      <c r="H781" s="38"/>
      <c r="I781" s="32"/>
    </row>
    <row r="782" spans="1:9" x14ac:dyDescent="0.25">
      <c r="A782" s="1"/>
      <c r="B782" s="9"/>
      <c r="C782" s="37"/>
      <c r="D782" s="27"/>
      <c r="E782" s="151"/>
      <c r="F782" s="28"/>
      <c r="G782" s="29"/>
      <c r="H782" s="38"/>
      <c r="I782" s="32"/>
    </row>
    <row r="783" spans="1:9" x14ac:dyDescent="0.25">
      <c r="A783" s="1"/>
      <c r="B783" s="9"/>
      <c r="C783" s="37"/>
      <c r="D783" s="27"/>
      <c r="E783" s="151"/>
      <c r="F783" s="28"/>
      <c r="G783" s="29"/>
      <c r="H783" s="38"/>
      <c r="I783" s="32"/>
    </row>
    <row r="784" spans="1:9" x14ac:dyDescent="0.25">
      <c r="A784" s="1"/>
      <c r="B784" s="9"/>
      <c r="C784" s="37"/>
      <c r="D784" s="27"/>
      <c r="E784" s="151"/>
      <c r="F784" s="28"/>
      <c r="G784" s="29"/>
      <c r="H784" s="38"/>
      <c r="I784" s="32"/>
    </row>
    <row r="785" spans="1:9" x14ac:dyDescent="0.25">
      <c r="A785" s="1"/>
      <c r="B785" s="9"/>
      <c r="C785" s="37"/>
      <c r="D785" s="27"/>
      <c r="E785" s="151"/>
      <c r="F785" s="28"/>
      <c r="G785" s="29"/>
      <c r="H785" s="38"/>
      <c r="I785" s="32"/>
    </row>
    <row r="786" spans="1:9" x14ac:dyDescent="0.25">
      <c r="A786" s="1"/>
      <c r="B786" s="9"/>
      <c r="C786" s="37"/>
      <c r="D786" s="27"/>
      <c r="E786" s="151"/>
      <c r="F786" s="28"/>
      <c r="G786" s="29"/>
      <c r="H786" s="38"/>
      <c r="I786" s="32"/>
    </row>
    <row r="787" spans="1:9" x14ac:dyDescent="0.25">
      <c r="A787" s="1"/>
      <c r="B787" s="9"/>
      <c r="C787" s="37"/>
      <c r="D787" s="27"/>
      <c r="E787" s="151"/>
      <c r="F787" s="28"/>
      <c r="G787" s="29"/>
      <c r="H787" s="38"/>
      <c r="I787" s="32"/>
    </row>
    <row r="788" spans="1:9" x14ac:dyDescent="0.25">
      <c r="A788" s="1"/>
      <c r="B788" s="9"/>
      <c r="C788" s="37"/>
      <c r="D788" s="27"/>
      <c r="E788" s="151"/>
      <c r="F788" s="28"/>
      <c r="G788" s="29"/>
      <c r="H788" s="38"/>
      <c r="I788" s="32"/>
    </row>
    <row r="789" spans="1:9" x14ac:dyDescent="0.25">
      <c r="A789" s="1"/>
      <c r="B789" s="9"/>
      <c r="C789" s="37"/>
      <c r="D789" s="27"/>
      <c r="E789" s="151"/>
      <c r="F789" s="28"/>
      <c r="G789" s="29"/>
      <c r="H789" s="38"/>
      <c r="I789" s="32"/>
    </row>
    <row r="790" spans="1:9" x14ac:dyDescent="0.25">
      <c r="A790" s="1"/>
      <c r="B790" s="9"/>
      <c r="C790" s="37"/>
      <c r="D790" s="27"/>
      <c r="E790" s="151"/>
      <c r="F790" s="28"/>
      <c r="G790" s="29"/>
      <c r="H790" s="38"/>
      <c r="I790" s="32"/>
    </row>
    <row r="791" spans="1:9" x14ac:dyDescent="0.25">
      <c r="A791" s="1"/>
      <c r="B791" s="9"/>
      <c r="C791" s="37"/>
      <c r="D791" s="27"/>
      <c r="E791" s="151"/>
      <c r="F791" s="28"/>
      <c r="G791" s="29"/>
      <c r="H791" s="38"/>
      <c r="I791" s="32"/>
    </row>
    <row r="792" spans="1:9" x14ac:dyDescent="0.25">
      <c r="A792" s="1"/>
      <c r="B792" s="9"/>
      <c r="C792" s="37"/>
      <c r="D792" s="27"/>
      <c r="E792" s="151"/>
      <c r="F792" s="28"/>
      <c r="G792" s="29"/>
      <c r="H792" s="38"/>
      <c r="I792" s="32"/>
    </row>
    <row r="793" spans="1:9" x14ac:dyDescent="0.25">
      <c r="A793" s="1"/>
      <c r="B793" s="9"/>
      <c r="C793" s="37"/>
      <c r="D793" s="27"/>
      <c r="E793" s="151"/>
      <c r="F793" s="28"/>
      <c r="G793" s="29"/>
      <c r="H793" s="38"/>
      <c r="I793" s="32"/>
    </row>
    <row r="794" spans="1:9" x14ac:dyDescent="0.25">
      <c r="A794" s="1"/>
      <c r="B794" s="9"/>
      <c r="C794" s="37"/>
      <c r="D794" s="27"/>
      <c r="E794" s="151"/>
      <c r="F794" s="28"/>
      <c r="G794" s="29"/>
      <c r="H794" s="38"/>
      <c r="I794" s="32"/>
    </row>
    <row r="795" spans="1:9" x14ac:dyDescent="0.25">
      <c r="A795" s="1"/>
      <c r="B795" s="9"/>
      <c r="C795" s="37"/>
      <c r="D795" s="27"/>
      <c r="E795" s="151"/>
      <c r="F795" s="28"/>
      <c r="G795" s="29"/>
      <c r="H795" s="38"/>
      <c r="I795" s="32"/>
    </row>
    <row r="796" spans="1:9" x14ac:dyDescent="0.25">
      <c r="A796" s="1"/>
      <c r="B796" s="9"/>
      <c r="C796" s="37"/>
      <c r="D796" s="27"/>
      <c r="E796" s="151"/>
      <c r="F796" s="28"/>
      <c r="G796" s="29"/>
      <c r="H796" s="38"/>
      <c r="I796" s="32"/>
    </row>
    <row r="797" spans="1:9" x14ac:dyDescent="0.25">
      <c r="A797" s="1"/>
      <c r="B797" s="9"/>
      <c r="C797" s="37"/>
      <c r="D797" s="27"/>
      <c r="E797" s="151"/>
      <c r="F797" s="28"/>
      <c r="G797" s="29"/>
      <c r="H797" s="38"/>
      <c r="I797" s="32"/>
    </row>
    <row r="798" spans="1:9" x14ac:dyDescent="0.25">
      <c r="A798" s="1"/>
      <c r="B798" s="9"/>
      <c r="C798" s="37"/>
      <c r="D798" s="27"/>
      <c r="E798" s="151"/>
      <c r="F798" s="28"/>
      <c r="G798" s="29"/>
      <c r="H798" s="38"/>
      <c r="I798" s="32"/>
    </row>
    <row r="799" spans="1:9" x14ac:dyDescent="0.25">
      <c r="A799" s="1"/>
      <c r="B799" s="9"/>
      <c r="C799" s="37"/>
      <c r="D799" s="27"/>
      <c r="E799" s="151"/>
      <c r="F799" s="28"/>
      <c r="G799" s="29"/>
      <c r="H799" s="38"/>
      <c r="I799" s="32"/>
    </row>
    <row r="800" spans="1:9" x14ac:dyDescent="0.25">
      <c r="A800" s="1"/>
      <c r="B800" s="9"/>
      <c r="C800" s="37"/>
      <c r="D800" s="27"/>
      <c r="E800" s="151"/>
      <c r="F800" s="28"/>
      <c r="G800" s="29"/>
      <c r="H800" s="38"/>
      <c r="I800" s="32"/>
    </row>
    <row r="801" spans="1:9" x14ac:dyDescent="0.25">
      <c r="A801" s="1"/>
      <c r="B801" s="9"/>
      <c r="C801" s="37"/>
      <c r="D801" s="27"/>
      <c r="E801" s="151"/>
      <c r="F801" s="28"/>
      <c r="G801" s="29"/>
      <c r="H801" s="38"/>
      <c r="I801" s="32"/>
    </row>
    <row r="802" spans="1:9" x14ac:dyDescent="0.25">
      <c r="A802" s="1"/>
      <c r="B802" s="9"/>
      <c r="C802" s="37"/>
      <c r="D802" s="27"/>
      <c r="E802" s="151"/>
      <c r="F802" s="28"/>
      <c r="G802" s="29"/>
      <c r="H802" s="38"/>
      <c r="I802" s="32"/>
    </row>
    <row r="803" spans="1:9" x14ac:dyDescent="0.25">
      <c r="A803" s="1"/>
      <c r="B803" s="9"/>
      <c r="C803" s="37"/>
      <c r="D803" s="27"/>
      <c r="E803" s="151"/>
      <c r="F803" s="28"/>
      <c r="G803" s="29"/>
      <c r="H803" s="38"/>
      <c r="I803" s="32"/>
    </row>
    <row r="804" spans="1:9" x14ac:dyDescent="0.25">
      <c r="A804" s="1"/>
      <c r="B804" s="9"/>
      <c r="C804" s="37"/>
      <c r="D804" s="27"/>
      <c r="E804" s="151"/>
      <c r="F804" s="28"/>
      <c r="G804" s="29"/>
      <c r="H804" s="38"/>
      <c r="I804" s="32"/>
    </row>
    <row r="805" spans="1:9" x14ac:dyDescent="0.25">
      <c r="A805" s="1"/>
      <c r="B805" s="9"/>
      <c r="C805" s="37"/>
      <c r="D805" s="27"/>
      <c r="E805" s="151"/>
      <c r="F805" s="28"/>
      <c r="G805" s="29"/>
      <c r="H805" s="38"/>
      <c r="I805" s="32"/>
    </row>
    <row r="806" spans="1:9" x14ac:dyDescent="0.25">
      <c r="A806" s="1"/>
      <c r="B806" s="9"/>
      <c r="C806" s="37"/>
      <c r="D806" s="27"/>
      <c r="E806" s="151"/>
      <c r="F806" s="28"/>
      <c r="G806" s="29"/>
      <c r="H806" s="38"/>
      <c r="I806" s="32"/>
    </row>
    <row r="807" spans="1:9" x14ac:dyDescent="0.25">
      <c r="A807" s="1"/>
      <c r="B807" s="9"/>
      <c r="C807" s="37"/>
      <c r="D807" s="27"/>
      <c r="E807" s="151"/>
      <c r="F807" s="28"/>
      <c r="G807" s="29"/>
      <c r="H807" s="38"/>
      <c r="I807" s="32"/>
    </row>
    <row r="808" spans="1:9" x14ac:dyDescent="0.25">
      <c r="A808" s="1"/>
      <c r="B808" s="9"/>
      <c r="C808" s="37"/>
      <c r="D808" s="27"/>
      <c r="E808" s="151"/>
      <c r="F808" s="28"/>
      <c r="G808" s="29"/>
      <c r="H808" s="38"/>
      <c r="I808" s="32"/>
    </row>
    <row r="809" spans="1:9" x14ac:dyDescent="0.25">
      <c r="A809" s="1"/>
      <c r="B809" s="9"/>
      <c r="C809" s="37"/>
      <c r="D809" s="27"/>
      <c r="E809" s="151"/>
      <c r="F809" s="28"/>
      <c r="G809" s="29"/>
      <c r="H809" s="38"/>
      <c r="I809" s="32"/>
    </row>
    <row r="810" spans="1:9" x14ac:dyDescent="0.25">
      <c r="A810" s="1"/>
      <c r="B810" s="9"/>
      <c r="C810" s="37"/>
      <c r="D810" s="27"/>
      <c r="E810" s="151"/>
      <c r="F810" s="28"/>
      <c r="G810" s="29"/>
      <c r="H810" s="38"/>
      <c r="I810" s="32"/>
    </row>
    <row r="811" spans="1:9" x14ac:dyDescent="0.25">
      <c r="A811" s="1"/>
      <c r="B811" s="9"/>
      <c r="C811" s="37"/>
      <c r="D811" s="27"/>
      <c r="E811" s="151"/>
      <c r="F811" s="28"/>
      <c r="G811" s="29"/>
      <c r="H811" s="38"/>
      <c r="I811" s="32"/>
    </row>
    <row r="812" spans="1:9" x14ac:dyDescent="0.25">
      <c r="A812" s="1"/>
      <c r="B812" s="9"/>
      <c r="C812" s="37"/>
      <c r="D812" s="27"/>
      <c r="E812" s="151"/>
      <c r="F812" s="28"/>
      <c r="G812" s="29"/>
      <c r="H812" s="38"/>
      <c r="I812" s="32"/>
    </row>
    <row r="813" spans="1:9" x14ac:dyDescent="0.25">
      <c r="A813" s="1"/>
      <c r="B813" s="9"/>
      <c r="C813" s="37"/>
      <c r="D813" s="27"/>
      <c r="E813" s="151"/>
      <c r="F813" s="28"/>
      <c r="G813" s="29"/>
      <c r="H813" s="38"/>
      <c r="I813" s="32"/>
    </row>
    <row r="814" spans="1:9" x14ac:dyDescent="0.25">
      <c r="A814" s="1"/>
      <c r="B814" s="9"/>
      <c r="C814" s="37"/>
      <c r="D814" s="27"/>
      <c r="E814" s="151"/>
      <c r="F814" s="28"/>
      <c r="G814" s="29"/>
      <c r="H814" s="38"/>
      <c r="I814" s="32"/>
    </row>
    <row r="815" spans="1:9" x14ac:dyDescent="0.25">
      <c r="A815" s="1"/>
      <c r="B815" s="9"/>
      <c r="C815" s="37"/>
      <c r="D815" s="27"/>
      <c r="E815" s="151"/>
      <c r="F815" s="28"/>
      <c r="G815" s="29"/>
      <c r="H815" s="38"/>
      <c r="I815" s="32"/>
    </row>
    <row r="816" spans="1:9" x14ac:dyDescent="0.25">
      <c r="A816" s="1"/>
      <c r="B816" s="9"/>
      <c r="C816" s="37"/>
      <c r="D816" s="27"/>
      <c r="E816" s="151"/>
      <c r="F816" s="28"/>
      <c r="G816" s="29"/>
      <c r="H816" s="38"/>
      <c r="I816" s="32"/>
    </row>
    <row r="817" spans="1:9" x14ac:dyDescent="0.25">
      <c r="A817" s="1"/>
      <c r="B817" s="9"/>
      <c r="C817" s="37"/>
      <c r="D817" s="27"/>
      <c r="E817" s="151"/>
      <c r="F817" s="28"/>
      <c r="G817" s="29"/>
      <c r="H817" s="38"/>
      <c r="I817" s="32"/>
    </row>
    <row r="818" spans="1:9" x14ac:dyDescent="0.25">
      <c r="A818" s="1"/>
      <c r="B818" s="9"/>
      <c r="C818" s="37"/>
      <c r="D818" s="27"/>
      <c r="E818" s="151"/>
      <c r="F818" s="28"/>
      <c r="G818" s="29"/>
      <c r="H818" s="38"/>
      <c r="I818" s="32"/>
    </row>
    <row r="819" spans="1:9" x14ac:dyDescent="0.25">
      <c r="A819" s="1"/>
      <c r="B819" s="9"/>
      <c r="C819" s="37"/>
      <c r="D819" s="27"/>
      <c r="E819" s="151"/>
      <c r="F819" s="28"/>
      <c r="G819" s="29"/>
      <c r="H819" s="38"/>
      <c r="I819" s="32"/>
    </row>
    <row r="820" spans="1:9" x14ac:dyDescent="0.25">
      <c r="A820" s="1"/>
      <c r="B820" s="9"/>
      <c r="C820" s="37"/>
      <c r="D820" s="27"/>
      <c r="E820" s="151"/>
      <c r="F820" s="28"/>
      <c r="G820" s="29"/>
      <c r="H820" s="38"/>
      <c r="I820" s="32"/>
    </row>
    <row r="821" spans="1:9" x14ac:dyDescent="0.25">
      <c r="A821" s="1"/>
      <c r="B821" s="9"/>
      <c r="C821" s="37"/>
      <c r="D821" s="27"/>
      <c r="E821" s="151"/>
      <c r="F821" s="28"/>
      <c r="G821" s="29"/>
      <c r="H821" s="38"/>
      <c r="I821" s="32"/>
    </row>
    <row r="822" spans="1:9" x14ac:dyDescent="0.25">
      <c r="A822" s="1"/>
      <c r="B822" s="9"/>
      <c r="C822" s="37"/>
      <c r="D822" s="27"/>
      <c r="E822" s="151"/>
      <c r="F822" s="28"/>
      <c r="G822" s="29"/>
      <c r="H822" s="38"/>
      <c r="I822" s="32"/>
    </row>
    <row r="823" spans="1:9" x14ac:dyDescent="0.25">
      <c r="A823" s="1"/>
      <c r="B823" s="9"/>
      <c r="C823" s="37"/>
      <c r="D823" s="27"/>
      <c r="E823" s="151"/>
      <c r="F823" s="28"/>
      <c r="G823" s="29"/>
      <c r="H823" s="38"/>
      <c r="I823" s="32"/>
    </row>
    <row r="824" spans="1:9" x14ac:dyDescent="0.25">
      <c r="A824" s="1"/>
      <c r="B824" s="9"/>
      <c r="C824" s="37"/>
      <c r="D824" s="27"/>
      <c r="E824" s="151"/>
      <c r="F824" s="28"/>
      <c r="G824" s="29"/>
      <c r="H824" s="38"/>
      <c r="I824" s="32"/>
    </row>
    <row r="825" spans="1:9" x14ac:dyDescent="0.25">
      <c r="A825" s="1"/>
      <c r="B825" s="9"/>
      <c r="C825" s="37"/>
      <c r="D825" s="27"/>
      <c r="E825" s="151"/>
      <c r="F825" s="28"/>
      <c r="G825" s="29"/>
      <c r="H825" s="38"/>
      <c r="I825" s="32"/>
    </row>
    <row r="826" spans="1:9" x14ac:dyDescent="0.25">
      <c r="A826" s="1"/>
      <c r="B826" s="9"/>
      <c r="C826" s="37"/>
      <c r="D826" s="27"/>
      <c r="E826" s="151"/>
      <c r="F826" s="28"/>
      <c r="G826" s="29"/>
      <c r="H826" s="38"/>
      <c r="I826" s="32"/>
    </row>
    <row r="827" spans="1:9" x14ac:dyDescent="0.25">
      <c r="A827" s="1"/>
      <c r="B827" s="9"/>
      <c r="C827" s="37"/>
      <c r="D827" s="27"/>
      <c r="E827" s="151"/>
      <c r="F827" s="28"/>
      <c r="G827" s="29"/>
      <c r="H827" s="38"/>
      <c r="I827" s="32"/>
    </row>
    <row r="828" spans="1:9" x14ac:dyDescent="0.25">
      <c r="A828" s="1"/>
      <c r="B828" s="9"/>
      <c r="C828" s="37"/>
      <c r="D828" s="27"/>
      <c r="E828" s="151"/>
      <c r="F828" s="28"/>
      <c r="G828" s="29"/>
      <c r="H828" s="38"/>
      <c r="I828" s="32"/>
    </row>
    <row r="829" spans="1:9" x14ac:dyDescent="0.25">
      <c r="A829" s="1"/>
      <c r="B829" s="9"/>
      <c r="C829" s="37"/>
      <c r="D829" s="27"/>
      <c r="E829" s="151"/>
      <c r="F829" s="28"/>
      <c r="G829" s="29"/>
      <c r="H829" s="38"/>
      <c r="I829" s="32"/>
    </row>
    <row r="830" spans="1:9" x14ac:dyDescent="0.25">
      <c r="A830" s="1"/>
      <c r="B830" s="9"/>
      <c r="C830" s="37"/>
      <c r="D830" s="27"/>
      <c r="E830" s="151"/>
      <c r="F830" s="28"/>
      <c r="G830" s="29"/>
      <c r="H830" s="38"/>
      <c r="I830" s="32"/>
    </row>
    <row r="831" spans="1:9" x14ac:dyDescent="0.25">
      <c r="A831" s="1"/>
      <c r="B831" s="9"/>
      <c r="C831" s="37"/>
      <c r="D831" s="27"/>
      <c r="E831" s="151"/>
      <c r="F831" s="28"/>
      <c r="G831" s="29"/>
      <c r="H831" s="38"/>
      <c r="I831" s="32"/>
    </row>
    <row r="832" spans="1:9" x14ac:dyDescent="0.25">
      <c r="A832" s="1"/>
      <c r="B832" s="9"/>
      <c r="C832" s="37"/>
      <c r="D832" s="27"/>
      <c r="E832" s="151"/>
      <c r="F832" s="28"/>
      <c r="G832" s="29"/>
      <c r="H832" s="38"/>
      <c r="I832" s="32"/>
    </row>
    <row r="833" spans="1:9" x14ac:dyDescent="0.25">
      <c r="A833" s="1"/>
      <c r="B833" s="9"/>
      <c r="C833" s="37"/>
      <c r="D833" s="27"/>
      <c r="E833" s="151"/>
      <c r="F833" s="28"/>
      <c r="G833" s="29"/>
      <c r="H833" s="38"/>
      <c r="I833" s="32"/>
    </row>
    <row r="834" spans="1:9" x14ac:dyDescent="0.25">
      <c r="A834" s="1"/>
      <c r="B834" s="9"/>
      <c r="C834" s="37"/>
      <c r="D834" s="27"/>
      <c r="E834" s="151"/>
      <c r="F834" s="28"/>
      <c r="G834" s="29"/>
      <c r="H834" s="38"/>
      <c r="I834" s="32"/>
    </row>
    <row r="835" spans="1:9" x14ac:dyDescent="0.25">
      <c r="A835" s="1"/>
      <c r="B835" s="9"/>
      <c r="C835" s="37"/>
      <c r="D835" s="27"/>
      <c r="E835" s="151"/>
      <c r="F835" s="28"/>
      <c r="G835" s="29"/>
      <c r="H835" s="38"/>
      <c r="I835" s="32"/>
    </row>
    <row r="836" spans="1:9" x14ac:dyDescent="0.25">
      <c r="A836" s="1"/>
      <c r="B836" s="9"/>
      <c r="C836" s="37"/>
      <c r="D836" s="27"/>
      <c r="E836" s="151"/>
      <c r="F836" s="28"/>
      <c r="G836" s="29"/>
      <c r="H836" s="38"/>
      <c r="I836" s="32"/>
    </row>
    <row r="837" spans="1:9" x14ac:dyDescent="0.25">
      <c r="A837" s="1"/>
      <c r="B837" s="9"/>
      <c r="C837" s="37"/>
      <c r="D837" s="27"/>
      <c r="E837" s="151"/>
      <c r="F837" s="28"/>
      <c r="G837" s="29"/>
      <c r="H837" s="38"/>
      <c r="I837" s="32"/>
    </row>
    <row r="838" spans="1:9" x14ac:dyDescent="0.25">
      <c r="A838" s="1"/>
      <c r="B838" s="9"/>
      <c r="C838" s="37"/>
      <c r="D838" s="27"/>
      <c r="E838" s="151"/>
      <c r="F838" s="28"/>
      <c r="G838" s="29"/>
      <c r="H838" s="38"/>
      <c r="I838" s="32"/>
    </row>
    <row r="839" spans="1:9" x14ac:dyDescent="0.25">
      <c r="A839" s="1"/>
      <c r="B839" s="9"/>
      <c r="C839" s="37"/>
      <c r="D839" s="27"/>
      <c r="E839" s="151"/>
      <c r="F839" s="28"/>
      <c r="G839" s="29"/>
      <c r="H839" s="38"/>
      <c r="I839" s="32"/>
    </row>
    <row r="840" spans="1:9" x14ac:dyDescent="0.25">
      <c r="A840" s="1"/>
      <c r="B840" s="9"/>
      <c r="C840" s="37"/>
      <c r="D840" s="27"/>
      <c r="E840" s="151"/>
      <c r="F840" s="28"/>
      <c r="G840" s="29"/>
      <c r="H840" s="38"/>
      <c r="I840" s="32"/>
    </row>
    <row r="841" spans="1:9" x14ac:dyDescent="0.25">
      <c r="A841" s="1"/>
      <c r="B841" s="9"/>
      <c r="C841" s="37"/>
      <c r="D841" s="27"/>
      <c r="E841" s="151"/>
      <c r="F841" s="28"/>
      <c r="G841" s="29"/>
      <c r="H841" s="38"/>
      <c r="I841" s="32"/>
    </row>
    <row r="842" spans="1:9" x14ac:dyDescent="0.25">
      <c r="A842" s="1"/>
      <c r="B842" s="9"/>
      <c r="C842" s="37"/>
      <c r="D842" s="27"/>
      <c r="E842" s="151"/>
      <c r="F842" s="28"/>
      <c r="G842" s="29"/>
      <c r="H842" s="38"/>
      <c r="I842" s="32"/>
    </row>
    <row r="843" spans="1:9" x14ac:dyDescent="0.25">
      <c r="A843" s="1"/>
      <c r="B843" s="9"/>
      <c r="C843" s="37"/>
      <c r="D843" s="27"/>
      <c r="E843" s="151"/>
      <c r="F843" s="28"/>
      <c r="G843" s="29"/>
      <c r="H843" s="38"/>
      <c r="I843" s="32"/>
    </row>
    <row r="844" spans="1:9" x14ac:dyDescent="0.25">
      <c r="A844" s="1"/>
      <c r="B844" s="9"/>
      <c r="C844" s="37"/>
      <c r="D844" s="27"/>
      <c r="E844" s="151"/>
      <c r="F844" s="28"/>
      <c r="G844" s="29"/>
      <c r="H844" s="38"/>
      <c r="I844" s="32"/>
    </row>
    <row r="845" spans="1:9" x14ac:dyDescent="0.25">
      <c r="A845" s="1"/>
      <c r="B845" s="9"/>
      <c r="C845" s="37"/>
      <c r="D845" s="27"/>
      <c r="E845" s="151"/>
      <c r="F845" s="28"/>
      <c r="G845" s="29"/>
      <c r="H845" s="38"/>
      <c r="I845" s="32"/>
    </row>
    <row r="846" spans="1:9" x14ac:dyDescent="0.25">
      <c r="A846" s="1"/>
      <c r="B846" s="9"/>
      <c r="C846" s="37"/>
      <c r="D846" s="27"/>
      <c r="E846" s="151"/>
      <c r="F846" s="28"/>
      <c r="G846" s="29"/>
      <c r="H846" s="38"/>
      <c r="I846" s="32"/>
    </row>
    <row r="847" spans="1:9" x14ac:dyDescent="0.25">
      <c r="A847" s="1"/>
      <c r="B847" s="9"/>
      <c r="C847" s="37"/>
      <c r="D847" s="27"/>
      <c r="E847" s="151"/>
      <c r="F847" s="28"/>
      <c r="G847" s="29"/>
      <c r="H847" s="38"/>
      <c r="I847" s="32"/>
    </row>
    <row r="848" spans="1:9" x14ac:dyDescent="0.25">
      <c r="A848" s="1"/>
      <c r="B848" s="9"/>
      <c r="C848" s="37"/>
      <c r="D848" s="27"/>
      <c r="E848" s="151"/>
      <c r="F848" s="28"/>
      <c r="G848" s="29"/>
      <c r="H848" s="38"/>
      <c r="I848" s="32"/>
    </row>
    <row r="849" spans="1:9" x14ac:dyDescent="0.25">
      <c r="A849" s="1"/>
      <c r="B849" s="9"/>
      <c r="C849" s="37"/>
      <c r="D849" s="27"/>
      <c r="E849" s="151"/>
      <c r="F849" s="28"/>
      <c r="G849" s="29"/>
      <c r="H849" s="38"/>
      <c r="I849" s="32"/>
    </row>
    <row r="850" spans="1:9" x14ac:dyDescent="0.25">
      <c r="A850" s="1"/>
      <c r="B850" s="9"/>
      <c r="C850" s="37"/>
      <c r="D850" s="27"/>
      <c r="E850" s="151"/>
      <c r="F850" s="28"/>
      <c r="G850" s="29"/>
      <c r="H850" s="38"/>
      <c r="I850" s="32"/>
    </row>
    <row r="851" spans="1:9" x14ac:dyDescent="0.25">
      <c r="A851" s="1"/>
      <c r="B851" s="9"/>
      <c r="C851" s="37"/>
      <c r="D851" s="27"/>
      <c r="E851" s="151"/>
      <c r="F851" s="28"/>
      <c r="G851" s="29"/>
      <c r="H851" s="38"/>
      <c r="I851" s="32"/>
    </row>
    <row r="852" spans="1:9" x14ac:dyDescent="0.25">
      <c r="A852" s="1"/>
      <c r="B852" s="9"/>
      <c r="C852" s="37"/>
      <c r="D852" s="27"/>
      <c r="E852" s="151"/>
      <c r="F852" s="28"/>
      <c r="G852" s="29"/>
      <c r="H852" s="38"/>
      <c r="I852" s="32"/>
    </row>
    <row r="853" spans="1:9" x14ac:dyDescent="0.25">
      <c r="A853" s="1"/>
      <c r="B853" s="9"/>
      <c r="C853" s="37"/>
      <c r="D853" s="27"/>
      <c r="E853" s="151"/>
      <c r="F853" s="28"/>
      <c r="G853" s="29"/>
      <c r="H853" s="38"/>
      <c r="I853" s="32"/>
    </row>
    <row r="854" spans="1:9" x14ac:dyDescent="0.25">
      <c r="A854" s="1"/>
      <c r="B854" s="9"/>
      <c r="C854" s="37"/>
      <c r="D854" s="27"/>
      <c r="E854" s="151"/>
      <c r="F854" s="28"/>
      <c r="G854" s="29"/>
      <c r="H854" s="38"/>
      <c r="I854" s="32"/>
    </row>
    <row r="855" spans="1:9" x14ac:dyDescent="0.25">
      <c r="A855" s="1"/>
      <c r="B855" s="9"/>
      <c r="C855" s="37"/>
      <c r="D855" s="27"/>
      <c r="E855" s="151"/>
      <c r="F855" s="28"/>
      <c r="G855" s="29"/>
      <c r="H855" s="38"/>
      <c r="I855" s="32"/>
    </row>
    <row r="856" spans="1:9" x14ac:dyDescent="0.25">
      <c r="A856" s="1"/>
      <c r="B856" s="9"/>
      <c r="C856" s="37"/>
      <c r="D856" s="27"/>
      <c r="E856" s="151"/>
      <c r="F856" s="28"/>
      <c r="G856" s="29"/>
      <c r="H856" s="38"/>
      <c r="I856" s="32"/>
    </row>
    <row r="857" spans="1:9" x14ac:dyDescent="0.25">
      <c r="A857" s="1"/>
      <c r="B857" s="9"/>
      <c r="C857" s="37"/>
      <c r="D857" s="27"/>
      <c r="E857" s="151"/>
      <c r="F857" s="28"/>
      <c r="G857" s="29"/>
      <c r="H857" s="38"/>
      <c r="I857" s="32"/>
    </row>
    <row r="858" spans="1:9" x14ac:dyDescent="0.25">
      <c r="A858" s="1"/>
      <c r="B858" s="9"/>
      <c r="C858" s="37"/>
      <c r="D858" s="27"/>
      <c r="E858" s="151"/>
      <c r="F858" s="28"/>
      <c r="G858" s="29"/>
      <c r="H858" s="38"/>
      <c r="I858" s="32"/>
    </row>
    <row r="859" spans="1:9" x14ac:dyDescent="0.25">
      <c r="A859" s="1"/>
      <c r="B859" s="9"/>
      <c r="C859" s="37"/>
      <c r="D859" s="27"/>
      <c r="E859" s="151"/>
      <c r="F859" s="28"/>
      <c r="G859" s="29"/>
      <c r="H859" s="38"/>
      <c r="I859" s="32"/>
    </row>
    <row r="860" spans="1:9" x14ac:dyDescent="0.25">
      <c r="A860" s="1"/>
      <c r="B860" s="9"/>
      <c r="C860" s="37"/>
      <c r="D860" s="27"/>
      <c r="E860" s="151"/>
      <c r="F860" s="28"/>
      <c r="G860" s="29"/>
      <c r="H860" s="38"/>
      <c r="I860" s="32"/>
    </row>
    <row r="861" spans="1:9" x14ac:dyDescent="0.25">
      <c r="A861" s="1"/>
      <c r="B861" s="9"/>
      <c r="C861" s="37"/>
      <c r="D861" s="27"/>
      <c r="E861" s="151"/>
      <c r="F861" s="28"/>
      <c r="G861" s="29"/>
      <c r="H861" s="38"/>
      <c r="I861" s="32"/>
    </row>
    <row r="862" spans="1:9" x14ac:dyDescent="0.25">
      <c r="A862" s="1"/>
      <c r="B862" s="9"/>
      <c r="C862" s="37"/>
      <c r="D862" s="27"/>
      <c r="E862" s="151"/>
      <c r="F862" s="28"/>
      <c r="G862" s="29"/>
      <c r="H862" s="38"/>
      <c r="I862" s="32"/>
    </row>
    <row r="863" spans="1:9" x14ac:dyDescent="0.25">
      <c r="A863" s="1"/>
      <c r="B863" s="9"/>
      <c r="C863" s="37"/>
      <c r="D863" s="27"/>
      <c r="E863" s="151"/>
      <c r="F863" s="28"/>
      <c r="G863" s="29"/>
      <c r="H863" s="38"/>
      <c r="I863" s="32"/>
    </row>
    <row r="864" spans="1:9" x14ac:dyDescent="0.25">
      <c r="A864" s="1"/>
      <c r="B864" s="9"/>
      <c r="C864" s="37"/>
      <c r="D864" s="27"/>
      <c r="E864" s="151"/>
      <c r="F864" s="28"/>
      <c r="G864" s="29"/>
      <c r="H864" s="38"/>
      <c r="I864" s="32"/>
    </row>
    <row r="865" spans="1:9" x14ac:dyDescent="0.25">
      <c r="A865" s="1"/>
      <c r="B865" s="9"/>
      <c r="C865" s="37"/>
      <c r="D865" s="27"/>
      <c r="E865" s="151"/>
      <c r="F865" s="28"/>
      <c r="G865" s="29"/>
      <c r="H865" s="38"/>
      <c r="I865" s="32"/>
    </row>
    <row r="866" spans="1:9" x14ac:dyDescent="0.25">
      <c r="A866" s="1"/>
      <c r="B866" s="9"/>
      <c r="C866" s="37"/>
      <c r="D866" s="27"/>
      <c r="E866" s="151"/>
      <c r="F866" s="28"/>
      <c r="G866" s="29"/>
      <c r="H866" s="38"/>
      <c r="I866" s="32"/>
    </row>
    <row r="867" spans="1:9" x14ac:dyDescent="0.25">
      <c r="A867" s="1"/>
      <c r="B867" s="9"/>
      <c r="C867" s="37"/>
      <c r="D867" s="27"/>
      <c r="E867" s="151"/>
      <c r="F867" s="28"/>
      <c r="G867" s="29"/>
      <c r="H867" s="38"/>
      <c r="I867" s="32"/>
    </row>
    <row r="868" spans="1:9" x14ac:dyDescent="0.25">
      <c r="A868" s="1"/>
      <c r="B868" s="9"/>
      <c r="C868" s="37"/>
      <c r="D868" s="27"/>
      <c r="E868" s="151"/>
      <c r="F868" s="28"/>
      <c r="G868" s="29"/>
      <c r="H868" s="38"/>
      <c r="I868" s="32"/>
    </row>
    <row r="869" spans="1:9" x14ac:dyDescent="0.25">
      <c r="A869" s="1"/>
      <c r="B869" s="9"/>
      <c r="C869" s="37"/>
      <c r="D869" s="27"/>
      <c r="E869" s="151"/>
      <c r="F869" s="28"/>
      <c r="G869" s="29"/>
      <c r="H869" s="38"/>
      <c r="I869" s="32"/>
    </row>
    <row r="870" spans="1:9" x14ac:dyDescent="0.25">
      <c r="A870" s="1"/>
      <c r="B870" s="9"/>
      <c r="C870" s="37"/>
      <c r="D870" s="27"/>
      <c r="E870" s="151"/>
      <c r="F870" s="28"/>
      <c r="G870" s="29"/>
      <c r="H870" s="38"/>
      <c r="I870" s="32"/>
    </row>
    <row r="871" spans="1:9" x14ac:dyDescent="0.25">
      <c r="A871" s="1"/>
      <c r="B871" s="9"/>
      <c r="C871" s="37"/>
      <c r="D871" s="27"/>
      <c r="E871" s="151"/>
      <c r="F871" s="28"/>
      <c r="G871" s="29"/>
      <c r="H871" s="38"/>
      <c r="I871" s="32"/>
    </row>
    <row r="872" spans="1:9" x14ac:dyDescent="0.25">
      <c r="A872" s="1"/>
      <c r="B872" s="9"/>
      <c r="C872" s="37"/>
      <c r="D872" s="27"/>
      <c r="E872" s="151"/>
      <c r="F872" s="28"/>
      <c r="G872" s="29"/>
      <c r="H872" s="38"/>
      <c r="I872" s="32"/>
    </row>
    <row r="873" spans="1:9" x14ac:dyDescent="0.25">
      <c r="A873" s="1"/>
      <c r="B873" s="9"/>
      <c r="C873" s="37"/>
      <c r="D873" s="27"/>
      <c r="E873" s="151"/>
      <c r="F873" s="28"/>
      <c r="G873" s="29"/>
      <c r="H873" s="38"/>
      <c r="I873" s="32"/>
    </row>
    <row r="874" spans="1:9" x14ac:dyDescent="0.25">
      <c r="A874" s="1"/>
      <c r="B874" s="9"/>
      <c r="C874" s="37"/>
      <c r="D874" s="27"/>
      <c r="E874" s="151"/>
      <c r="F874" s="28"/>
      <c r="G874" s="29"/>
      <c r="H874" s="38"/>
      <c r="I874" s="32"/>
    </row>
    <row r="875" spans="1:9" x14ac:dyDescent="0.25">
      <c r="A875" s="1"/>
      <c r="B875" s="9"/>
      <c r="C875" s="37"/>
      <c r="D875" s="27"/>
      <c r="E875" s="151"/>
      <c r="F875" s="28"/>
      <c r="G875" s="29"/>
      <c r="H875" s="38"/>
      <c r="I875" s="32"/>
    </row>
    <row r="876" spans="1:9" x14ac:dyDescent="0.25">
      <c r="A876" s="1"/>
      <c r="B876" s="9"/>
      <c r="C876" s="37"/>
      <c r="D876" s="27"/>
      <c r="E876" s="151"/>
      <c r="F876" s="28"/>
      <c r="G876" s="29"/>
      <c r="H876" s="38"/>
      <c r="I876" s="32"/>
    </row>
    <row r="877" spans="1:9" x14ac:dyDescent="0.25">
      <c r="A877" s="1"/>
      <c r="B877" s="9"/>
      <c r="C877" s="37"/>
      <c r="D877" s="27"/>
      <c r="E877" s="151"/>
      <c r="F877" s="28"/>
      <c r="G877" s="29"/>
      <c r="H877" s="38"/>
      <c r="I877" s="32"/>
    </row>
    <row r="878" spans="1:9" x14ac:dyDescent="0.25">
      <c r="A878" s="1"/>
      <c r="B878" s="9"/>
      <c r="C878" s="37"/>
      <c r="D878" s="27"/>
      <c r="E878" s="151"/>
      <c r="F878" s="28"/>
      <c r="G878" s="29"/>
      <c r="H878" s="38"/>
      <c r="I878" s="32"/>
    </row>
    <row r="879" spans="1:9" x14ac:dyDescent="0.25">
      <c r="A879" s="1"/>
      <c r="B879" s="9"/>
      <c r="C879" s="37"/>
      <c r="D879" s="27"/>
      <c r="E879" s="151"/>
      <c r="F879" s="28"/>
      <c r="G879" s="29"/>
      <c r="H879" s="38"/>
      <c r="I879" s="32"/>
    </row>
    <row r="880" spans="1:9" x14ac:dyDescent="0.25">
      <c r="A880" s="1"/>
      <c r="B880" s="9"/>
      <c r="C880" s="37"/>
      <c r="D880" s="27"/>
      <c r="E880" s="151"/>
      <c r="F880" s="28"/>
      <c r="G880" s="29"/>
      <c r="H880" s="38"/>
      <c r="I880" s="32"/>
    </row>
    <row r="881" spans="1:9" x14ac:dyDescent="0.25">
      <c r="A881" s="1"/>
      <c r="B881" s="9"/>
      <c r="C881" s="37"/>
      <c r="D881" s="27"/>
      <c r="E881" s="151"/>
      <c r="F881" s="28"/>
      <c r="G881" s="29"/>
      <c r="H881" s="38"/>
      <c r="I881" s="32"/>
    </row>
    <row r="882" spans="1:9" x14ac:dyDescent="0.25">
      <c r="A882" s="1"/>
      <c r="B882" s="9"/>
      <c r="C882" s="37"/>
      <c r="D882" s="27"/>
      <c r="E882" s="151"/>
      <c r="F882" s="28"/>
      <c r="G882" s="29"/>
      <c r="H882" s="38"/>
      <c r="I882" s="32"/>
    </row>
    <row r="883" spans="1:9" x14ac:dyDescent="0.25">
      <c r="A883" s="1"/>
      <c r="B883" s="9"/>
      <c r="C883" s="37"/>
      <c r="D883" s="27"/>
      <c r="E883" s="151"/>
      <c r="F883" s="28"/>
      <c r="G883" s="29"/>
      <c r="H883" s="38"/>
      <c r="I883" s="32"/>
    </row>
    <row r="884" spans="1:9" x14ac:dyDescent="0.25">
      <c r="A884" s="1"/>
      <c r="B884" s="9"/>
      <c r="C884" s="37"/>
      <c r="D884" s="27"/>
      <c r="E884" s="151"/>
      <c r="F884" s="28"/>
      <c r="G884" s="29"/>
      <c r="H884" s="38"/>
      <c r="I884" s="32"/>
    </row>
    <row r="885" spans="1:9" x14ac:dyDescent="0.25">
      <c r="A885" s="1"/>
      <c r="B885" s="9"/>
      <c r="C885" s="37"/>
      <c r="D885" s="27"/>
      <c r="E885" s="151"/>
      <c r="F885" s="28"/>
      <c r="G885" s="29"/>
      <c r="H885" s="38"/>
      <c r="I885" s="32"/>
    </row>
    <row r="886" spans="1:9" x14ac:dyDescent="0.25">
      <c r="A886" s="1"/>
      <c r="B886" s="9"/>
      <c r="C886" s="37"/>
      <c r="D886" s="27"/>
      <c r="E886" s="151"/>
      <c r="F886" s="28"/>
      <c r="G886" s="29"/>
      <c r="H886" s="38"/>
      <c r="I886" s="32"/>
    </row>
    <row r="887" spans="1:9" x14ac:dyDescent="0.25">
      <c r="A887" s="1"/>
      <c r="B887" s="9"/>
      <c r="C887" s="37"/>
      <c r="D887" s="27"/>
      <c r="E887" s="151"/>
      <c r="F887" s="28"/>
      <c r="G887" s="29"/>
      <c r="H887" s="38"/>
      <c r="I887" s="32"/>
    </row>
    <row r="888" spans="1:9" x14ac:dyDescent="0.25">
      <c r="A888" s="1"/>
      <c r="B888" s="9"/>
      <c r="C888" s="37"/>
      <c r="D888" s="27"/>
      <c r="E888" s="151"/>
      <c r="F888" s="28"/>
      <c r="G888" s="29"/>
      <c r="H888" s="38"/>
      <c r="I888" s="32"/>
    </row>
    <row r="889" spans="1:9" x14ac:dyDescent="0.25">
      <c r="A889" s="1"/>
      <c r="B889" s="9"/>
      <c r="C889" s="37"/>
      <c r="D889" s="27"/>
      <c r="E889" s="151"/>
      <c r="F889" s="28"/>
      <c r="G889" s="29"/>
      <c r="H889" s="38"/>
      <c r="I889" s="32"/>
    </row>
    <row r="890" spans="1:9" x14ac:dyDescent="0.25">
      <c r="A890" s="1"/>
      <c r="B890" s="9"/>
      <c r="C890" s="37"/>
      <c r="D890" s="27"/>
      <c r="E890" s="151"/>
      <c r="F890" s="28"/>
      <c r="G890" s="29"/>
      <c r="H890" s="38"/>
      <c r="I890" s="32"/>
    </row>
    <row r="891" spans="1:9" x14ac:dyDescent="0.25">
      <c r="A891" s="1"/>
      <c r="B891" s="9"/>
      <c r="C891" s="37"/>
      <c r="D891" s="27"/>
      <c r="E891" s="151"/>
      <c r="F891" s="28"/>
      <c r="G891" s="29"/>
      <c r="H891" s="38"/>
      <c r="I891" s="32"/>
    </row>
    <row r="892" spans="1:9" x14ac:dyDescent="0.25">
      <c r="A892" s="1"/>
      <c r="B892" s="9"/>
      <c r="C892" s="37"/>
      <c r="D892" s="27"/>
      <c r="E892" s="151"/>
      <c r="F892" s="28"/>
      <c r="G892" s="29"/>
      <c r="H892" s="38"/>
      <c r="I892" s="32"/>
    </row>
    <row r="893" spans="1:9" x14ac:dyDescent="0.25">
      <c r="A893" s="1"/>
      <c r="B893" s="9"/>
      <c r="C893" s="37"/>
      <c r="D893" s="27"/>
      <c r="E893" s="151"/>
      <c r="F893" s="28"/>
      <c r="G893" s="29"/>
      <c r="H893" s="38"/>
      <c r="I893" s="32"/>
    </row>
    <row r="894" spans="1:9" x14ac:dyDescent="0.25">
      <c r="A894" s="1"/>
      <c r="B894" s="9"/>
      <c r="C894" s="37"/>
      <c r="D894" s="27"/>
      <c r="E894" s="151"/>
      <c r="F894" s="28"/>
      <c r="G894" s="29"/>
      <c r="H894" s="38"/>
      <c r="I894" s="32"/>
    </row>
    <row r="895" spans="1:9" x14ac:dyDescent="0.25">
      <c r="A895" s="1"/>
      <c r="B895" s="9"/>
      <c r="C895" s="37"/>
      <c r="D895" s="27"/>
      <c r="E895" s="151"/>
      <c r="F895" s="28"/>
      <c r="G895" s="29"/>
      <c r="H895" s="38"/>
      <c r="I895" s="32"/>
    </row>
    <row r="896" spans="1:9" x14ac:dyDescent="0.25">
      <c r="A896" s="1"/>
      <c r="B896" s="9"/>
      <c r="C896" s="37"/>
      <c r="D896" s="27"/>
      <c r="E896" s="151"/>
      <c r="F896" s="28"/>
      <c r="G896" s="29"/>
      <c r="H896" s="38"/>
      <c r="I896" s="32"/>
    </row>
    <row r="897" spans="1:9" x14ac:dyDescent="0.25">
      <c r="A897" s="1"/>
      <c r="B897" s="9"/>
      <c r="C897" s="37"/>
      <c r="D897" s="27"/>
      <c r="E897" s="151"/>
      <c r="F897" s="28"/>
      <c r="G897" s="29"/>
      <c r="H897" s="38"/>
      <c r="I897" s="32"/>
    </row>
    <row r="898" spans="1:9" x14ac:dyDescent="0.25">
      <c r="A898" s="1"/>
      <c r="B898" s="9"/>
      <c r="C898" s="37"/>
      <c r="D898" s="27"/>
      <c r="E898" s="151"/>
      <c r="F898" s="28"/>
      <c r="G898" s="29"/>
      <c r="H898" s="38"/>
      <c r="I898" s="32"/>
    </row>
    <row r="899" spans="1:9" x14ac:dyDescent="0.25">
      <c r="A899" s="1"/>
      <c r="B899" s="9"/>
      <c r="C899" s="37"/>
      <c r="D899" s="27"/>
      <c r="E899" s="151"/>
      <c r="F899" s="28"/>
      <c r="G899" s="29"/>
      <c r="H899" s="38"/>
      <c r="I899" s="32"/>
    </row>
    <row r="900" spans="1:9" x14ac:dyDescent="0.25">
      <c r="A900" s="1"/>
      <c r="B900" s="9"/>
      <c r="C900" s="37"/>
      <c r="D900" s="27"/>
      <c r="E900" s="151"/>
      <c r="F900" s="28"/>
      <c r="G900" s="29"/>
      <c r="H900" s="38"/>
      <c r="I900" s="32"/>
    </row>
    <row r="901" spans="1:9" x14ac:dyDescent="0.25">
      <c r="A901" s="1"/>
      <c r="B901" s="9"/>
      <c r="C901" s="37"/>
      <c r="D901" s="27"/>
      <c r="E901" s="151"/>
      <c r="F901" s="28"/>
      <c r="G901" s="29"/>
      <c r="H901" s="38"/>
      <c r="I901" s="32"/>
    </row>
    <row r="902" spans="1:9" x14ac:dyDescent="0.25">
      <c r="A902" s="1"/>
      <c r="B902" s="9"/>
      <c r="C902" s="37"/>
      <c r="D902" s="27"/>
      <c r="E902" s="151"/>
      <c r="F902" s="28"/>
      <c r="G902" s="29"/>
      <c r="H902" s="38"/>
      <c r="I902" s="32"/>
    </row>
    <row r="903" spans="1:9" x14ac:dyDescent="0.25">
      <c r="A903" s="1"/>
      <c r="B903" s="9"/>
      <c r="C903" s="37"/>
      <c r="D903" s="27"/>
      <c r="E903" s="151"/>
      <c r="F903" s="28"/>
      <c r="G903" s="29"/>
      <c r="H903" s="38"/>
      <c r="I903" s="32"/>
    </row>
    <row r="904" spans="1:9" x14ac:dyDescent="0.25">
      <c r="A904" s="1"/>
      <c r="B904" s="9"/>
      <c r="C904" s="37"/>
      <c r="D904" s="27"/>
      <c r="E904" s="151"/>
      <c r="F904" s="28"/>
      <c r="G904" s="29"/>
      <c r="H904" s="38"/>
      <c r="I904" s="32"/>
    </row>
    <row r="905" spans="1:9" x14ac:dyDescent="0.25">
      <c r="A905" s="1"/>
      <c r="B905" s="9"/>
      <c r="C905" s="37"/>
      <c r="D905" s="27"/>
      <c r="E905" s="151"/>
      <c r="F905" s="28"/>
      <c r="G905" s="29"/>
      <c r="H905" s="38"/>
      <c r="I905" s="32"/>
    </row>
    <row r="906" spans="1:9" x14ac:dyDescent="0.25">
      <c r="A906" s="1"/>
      <c r="B906" s="9"/>
      <c r="C906" s="37"/>
      <c r="D906" s="27"/>
      <c r="E906" s="151"/>
      <c r="F906" s="28"/>
      <c r="G906" s="29"/>
      <c r="H906" s="38"/>
      <c r="I906" s="32"/>
    </row>
    <row r="907" spans="1:9" x14ac:dyDescent="0.25">
      <c r="A907" s="1"/>
      <c r="B907" s="9"/>
      <c r="C907" s="37"/>
      <c r="D907" s="27"/>
      <c r="E907" s="151"/>
      <c r="F907" s="28"/>
      <c r="G907" s="29"/>
      <c r="H907" s="38"/>
      <c r="I907" s="32"/>
    </row>
    <row r="908" spans="1:9" x14ac:dyDescent="0.25">
      <c r="A908" s="1"/>
      <c r="B908" s="9"/>
      <c r="C908" s="37"/>
      <c r="D908" s="27"/>
      <c r="E908" s="151"/>
      <c r="F908" s="28"/>
      <c r="G908" s="29"/>
      <c r="H908" s="38"/>
      <c r="I908" s="32"/>
    </row>
    <row r="909" spans="1:9" x14ac:dyDescent="0.25">
      <c r="A909" s="1"/>
      <c r="B909" s="9"/>
      <c r="C909" s="37"/>
      <c r="D909" s="27"/>
      <c r="E909" s="151"/>
      <c r="F909" s="28"/>
      <c r="G909" s="29"/>
      <c r="H909" s="38"/>
      <c r="I909" s="32"/>
    </row>
    <row r="910" spans="1:9" x14ac:dyDescent="0.25">
      <c r="A910" s="1"/>
      <c r="B910" s="9"/>
      <c r="C910" s="37"/>
      <c r="D910" s="27"/>
      <c r="E910" s="151"/>
      <c r="F910" s="28"/>
      <c r="G910" s="29"/>
      <c r="H910" s="38"/>
      <c r="I910" s="32"/>
    </row>
    <row r="911" spans="1:9" x14ac:dyDescent="0.25">
      <c r="A911" s="1"/>
      <c r="B911" s="9"/>
      <c r="C911" s="37"/>
      <c r="D911" s="27"/>
      <c r="E911" s="151"/>
      <c r="F911" s="28"/>
      <c r="G911" s="29"/>
      <c r="H911" s="38"/>
      <c r="I911" s="32"/>
    </row>
    <row r="912" spans="1:9" x14ac:dyDescent="0.25">
      <c r="A912" s="1"/>
      <c r="B912" s="9"/>
      <c r="C912" s="37"/>
      <c r="D912" s="27"/>
      <c r="E912" s="151"/>
      <c r="F912" s="28"/>
      <c r="G912" s="29"/>
      <c r="H912" s="38"/>
      <c r="I912" s="32"/>
    </row>
    <row r="913" spans="1:9" x14ac:dyDescent="0.25">
      <c r="A913" s="1"/>
      <c r="B913" s="9"/>
      <c r="C913" s="37"/>
      <c r="D913" s="27"/>
      <c r="E913" s="151"/>
      <c r="F913" s="28"/>
      <c r="G913" s="29"/>
      <c r="H913" s="38"/>
      <c r="I913" s="32"/>
    </row>
    <row r="914" spans="1:9" x14ac:dyDescent="0.25">
      <c r="A914" s="1"/>
      <c r="B914" s="9"/>
      <c r="C914" s="37"/>
      <c r="D914" s="27"/>
      <c r="E914" s="151"/>
      <c r="F914" s="28"/>
      <c r="G914" s="29"/>
      <c r="H914" s="38"/>
      <c r="I914" s="32"/>
    </row>
    <row r="915" spans="1:9" x14ac:dyDescent="0.25">
      <c r="A915" s="1"/>
      <c r="B915" s="9"/>
      <c r="C915" s="37"/>
      <c r="D915" s="27"/>
      <c r="E915" s="151"/>
      <c r="F915" s="28"/>
      <c r="G915" s="29"/>
      <c r="H915" s="38"/>
      <c r="I915" s="32"/>
    </row>
    <row r="916" spans="1:9" x14ac:dyDescent="0.25">
      <c r="A916" s="1"/>
      <c r="B916" s="9"/>
      <c r="C916" s="37"/>
      <c r="D916" s="27"/>
      <c r="E916" s="151"/>
      <c r="F916" s="28"/>
      <c r="G916" s="29"/>
      <c r="H916" s="38"/>
      <c r="I916" s="32"/>
    </row>
    <row r="917" spans="1:9" x14ac:dyDescent="0.25">
      <c r="A917" s="1"/>
      <c r="B917" s="9"/>
      <c r="C917" s="37"/>
      <c r="D917" s="27"/>
      <c r="E917" s="151"/>
      <c r="F917" s="28"/>
      <c r="G917" s="29"/>
      <c r="H917" s="38"/>
      <c r="I917" s="32"/>
    </row>
    <row r="918" spans="1:9" x14ac:dyDescent="0.25">
      <c r="A918" s="1"/>
      <c r="B918" s="9"/>
      <c r="C918" s="37"/>
      <c r="D918" s="27"/>
      <c r="E918" s="151"/>
      <c r="F918" s="28"/>
      <c r="G918" s="29"/>
      <c r="H918" s="38"/>
      <c r="I918" s="32"/>
    </row>
    <row r="919" spans="1:9" x14ac:dyDescent="0.25">
      <c r="A919" s="1"/>
      <c r="B919" s="9"/>
      <c r="C919" s="37"/>
      <c r="D919" s="27"/>
      <c r="E919" s="151"/>
      <c r="F919" s="28"/>
      <c r="G919" s="29"/>
      <c r="H919" s="38"/>
      <c r="I919" s="32"/>
    </row>
    <row r="920" spans="1:9" x14ac:dyDescent="0.25">
      <c r="A920" s="1"/>
      <c r="B920" s="9"/>
      <c r="C920" s="37"/>
      <c r="D920" s="27"/>
      <c r="E920" s="151"/>
      <c r="F920" s="28"/>
      <c r="G920" s="29"/>
      <c r="H920" s="38"/>
      <c r="I920" s="32"/>
    </row>
    <row r="921" spans="1:9" x14ac:dyDescent="0.25">
      <c r="A921" s="1"/>
      <c r="B921" s="9"/>
      <c r="C921" s="37"/>
      <c r="D921" s="27"/>
      <c r="E921" s="151"/>
      <c r="F921" s="28"/>
      <c r="G921" s="29"/>
      <c r="H921" s="38"/>
      <c r="I921" s="32"/>
    </row>
    <row r="922" spans="1:9" x14ac:dyDescent="0.25">
      <c r="A922" s="1"/>
      <c r="B922" s="9"/>
      <c r="C922" s="37"/>
      <c r="D922" s="27"/>
      <c r="E922" s="151"/>
      <c r="F922" s="28"/>
      <c r="G922" s="29"/>
      <c r="H922" s="38"/>
      <c r="I922" s="32"/>
    </row>
    <row r="923" spans="1:9" x14ac:dyDescent="0.25">
      <c r="A923" s="1"/>
      <c r="B923" s="9"/>
      <c r="C923" s="37"/>
      <c r="D923" s="27"/>
      <c r="E923" s="151"/>
      <c r="F923" s="28"/>
      <c r="G923" s="29"/>
      <c r="H923" s="38"/>
      <c r="I923" s="32"/>
    </row>
    <row r="924" spans="1:9" x14ac:dyDescent="0.25">
      <c r="A924" s="1"/>
      <c r="B924" s="9"/>
      <c r="C924" s="37"/>
      <c r="D924" s="27"/>
      <c r="E924" s="151"/>
      <c r="F924" s="28"/>
      <c r="G924" s="29"/>
      <c r="H924" s="38"/>
      <c r="I924" s="32"/>
    </row>
    <row r="925" spans="1:9" x14ac:dyDescent="0.25">
      <c r="A925" s="1"/>
      <c r="B925" s="9"/>
      <c r="C925" s="37"/>
      <c r="D925" s="27"/>
      <c r="E925" s="151"/>
      <c r="F925" s="28"/>
      <c r="G925" s="29"/>
      <c r="H925" s="38"/>
      <c r="I925" s="32"/>
    </row>
    <row r="926" spans="1:9" x14ac:dyDescent="0.25">
      <c r="A926" s="1"/>
      <c r="B926" s="9"/>
      <c r="C926" s="37"/>
      <c r="D926" s="27"/>
      <c r="E926" s="151"/>
      <c r="F926" s="28"/>
      <c r="G926" s="29"/>
      <c r="H926" s="38"/>
      <c r="I926" s="32"/>
    </row>
    <row r="927" spans="1:9" x14ac:dyDescent="0.25">
      <c r="A927" s="1"/>
      <c r="B927" s="9"/>
      <c r="C927" s="37"/>
      <c r="D927" s="27"/>
      <c r="E927" s="151"/>
      <c r="F927" s="28"/>
      <c r="G927" s="29"/>
      <c r="H927" s="38"/>
      <c r="I927" s="32"/>
    </row>
    <row r="928" spans="1:9" x14ac:dyDescent="0.25">
      <c r="A928" s="1"/>
      <c r="B928" s="9"/>
      <c r="C928" s="37"/>
      <c r="D928" s="27"/>
      <c r="E928" s="151"/>
      <c r="F928" s="28"/>
      <c r="G928" s="29"/>
      <c r="H928" s="38"/>
      <c r="I928" s="32"/>
    </row>
    <row r="929" spans="1:9" x14ac:dyDescent="0.25">
      <c r="A929" s="1"/>
      <c r="B929" s="9"/>
      <c r="C929" s="37"/>
      <c r="D929" s="27"/>
      <c r="E929" s="151"/>
      <c r="F929" s="28"/>
      <c r="G929" s="29"/>
      <c r="H929" s="38"/>
      <c r="I929" s="32"/>
    </row>
    <row r="930" spans="1:9" x14ac:dyDescent="0.25">
      <c r="A930" s="1"/>
      <c r="B930" s="9"/>
      <c r="C930" s="37"/>
      <c r="D930" s="27"/>
      <c r="E930" s="151"/>
      <c r="F930" s="28"/>
      <c r="G930" s="29"/>
      <c r="H930" s="38"/>
      <c r="I930" s="32"/>
    </row>
    <row r="931" spans="1:9" x14ac:dyDescent="0.25">
      <c r="A931" s="1"/>
      <c r="B931" s="9"/>
      <c r="C931" s="37"/>
      <c r="D931" s="27"/>
      <c r="E931" s="151"/>
      <c r="F931" s="28"/>
      <c r="G931" s="29"/>
      <c r="H931" s="38"/>
      <c r="I931" s="32"/>
    </row>
    <row r="932" spans="1:9" x14ac:dyDescent="0.25">
      <c r="A932" s="1"/>
      <c r="B932" s="9"/>
      <c r="C932" s="37"/>
      <c r="D932" s="27"/>
      <c r="E932" s="151"/>
      <c r="F932" s="28"/>
      <c r="G932" s="29"/>
      <c r="H932" s="38"/>
      <c r="I932" s="32"/>
    </row>
    <row r="933" spans="1:9" x14ac:dyDescent="0.25">
      <c r="A933" s="1"/>
      <c r="B933" s="9"/>
      <c r="C933" s="37"/>
      <c r="D933" s="27"/>
      <c r="E933" s="151"/>
      <c r="F933" s="28"/>
      <c r="G933" s="29"/>
      <c r="H933" s="38"/>
      <c r="I933" s="32"/>
    </row>
    <row r="934" spans="1:9" x14ac:dyDescent="0.25">
      <c r="A934" s="1"/>
      <c r="B934" s="9"/>
      <c r="C934" s="37"/>
      <c r="D934" s="27"/>
      <c r="E934" s="151"/>
      <c r="F934" s="28"/>
      <c r="G934" s="29"/>
      <c r="H934" s="38"/>
      <c r="I934" s="32"/>
    </row>
    <row r="935" spans="1:9" x14ac:dyDescent="0.25">
      <c r="A935" s="1"/>
      <c r="B935" s="9"/>
      <c r="C935" s="37"/>
      <c r="D935" s="27"/>
      <c r="E935" s="151"/>
      <c r="F935" s="28"/>
      <c r="G935" s="29"/>
      <c r="H935" s="38"/>
      <c r="I935" s="32"/>
    </row>
    <row r="936" spans="1:9" x14ac:dyDescent="0.25">
      <c r="A936" s="1"/>
      <c r="B936" s="9"/>
      <c r="C936" s="37"/>
      <c r="D936" s="27"/>
      <c r="E936" s="151"/>
      <c r="F936" s="28"/>
      <c r="G936" s="29"/>
      <c r="H936" s="38"/>
      <c r="I936" s="32"/>
    </row>
    <row r="937" spans="1:9" x14ac:dyDescent="0.25">
      <c r="A937" s="1"/>
      <c r="B937" s="9"/>
      <c r="C937" s="37"/>
      <c r="D937" s="27"/>
      <c r="E937" s="151"/>
      <c r="F937" s="28"/>
      <c r="G937" s="29"/>
      <c r="H937" s="38"/>
      <c r="I937" s="32"/>
    </row>
    <row r="938" spans="1:9" x14ac:dyDescent="0.25">
      <c r="A938" s="1"/>
      <c r="B938" s="9"/>
      <c r="C938" s="37"/>
      <c r="D938" s="27"/>
      <c r="E938" s="151"/>
      <c r="F938" s="28"/>
      <c r="G938" s="29"/>
      <c r="H938" s="38"/>
      <c r="I938" s="32"/>
    </row>
    <row r="939" spans="1:9" x14ac:dyDescent="0.25">
      <c r="A939" s="1"/>
      <c r="B939" s="9"/>
      <c r="C939" s="37"/>
      <c r="D939" s="27"/>
      <c r="E939" s="151"/>
      <c r="F939" s="28"/>
      <c r="G939" s="29"/>
      <c r="H939" s="38"/>
      <c r="I939" s="32"/>
    </row>
    <row r="940" spans="1:9" x14ac:dyDescent="0.25">
      <c r="A940" s="1"/>
      <c r="B940" s="9"/>
      <c r="C940" s="37"/>
      <c r="D940" s="27"/>
      <c r="E940" s="151"/>
      <c r="F940" s="28"/>
      <c r="G940" s="29"/>
      <c r="H940" s="38"/>
      <c r="I940" s="32"/>
    </row>
    <row r="941" spans="1:9" x14ac:dyDescent="0.25">
      <c r="A941" s="1"/>
      <c r="B941" s="9"/>
      <c r="C941" s="37"/>
      <c r="D941" s="27"/>
      <c r="E941" s="151"/>
      <c r="F941" s="28"/>
      <c r="G941" s="29"/>
      <c r="H941" s="38"/>
      <c r="I941" s="32"/>
    </row>
    <row r="942" spans="1:9" x14ac:dyDescent="0.25">
      <c r="A942" s="1"/>
      <c r="B942" s="9"/>
      <c r="C942" s="37"/>
      <c r="D942" s="27"/>
      <c r="E942" s="151"/>
      <c r="F942" s="28"/>
      <c r="G942" s="29"/>
      <c r="H942" s="38"/>
      <c r="I942" s="32"/>
    </row>
    <row r="943" spans="1:9" x14ac:dyDescent="0.25">
      <c r="A943" s="1"/>
      <c r="B943" s="9"/>
      <c r="C943" s="37"/>
      <c r="D943" s="27"/>
      <c r="E943" s="151"/>
      <c r="F943" s="28"/>
      <c r="G943" s="29"/>
      <c r="H943" s="38"/>
      <c r="I943" s="32"/>
    </row>
    <row r="944" spans="1:9" x14ac:dyDescent="0.25">
      <c r="A944" s="1"/>
      <c r="B944" s="9"/>
      <c r="C944" s="37"/>
      <c r="D944" s="27"/>
      <c r="E944" s="151"/>
      <c r="F944" s="28"/>
      <c r="G944" s="29"/>
      <c r="H944" s="38"/>
      <c r="I944" s="32"/>
    </row>
    <row r="945" spans="1:9" x14ac:dyDescent="0.25">
      <c r="A945" s="1"/>
      <c r="B945" s="9"/>
      <c r="C945" s="37"/>
      <c r="D945" s="27"/>
      <c r="E945" s="151"/>
      <c r="F945" s="28"/>
      <c r="G945" s="29"/>
      <c r="H945" s="38"/>
      <c r="I945" s="32"/>
    </row>
    <row r="946" spans="1:9" x14ac:dyDescent="0.25">
      <c r="A946" s="1"/>
      <c r="B946" s="9"/>
      <c r="C946" s="37"/>
      <c r="D946" s="27"/>
      <c r="E946" s="151"/>
      <c r="F946" s="28"/>
      <c r="G946" s="29"/>
      <c r="H946" s="38"/>
      <c r="I946" s="32"/>
    </row>
    <row r="947" spans="1:9" x14ac:dyDescent="0.25">
      <c r="A947" s="1"/>
      <c r="B947" s="9"/>
      <c r="C947" s="37"/>
      <c r="D947" s="27"/>
      <c r="E947" s="151"/>
      <c r="F947" s="28"/>
      <c r="G947" s="29"/>
      <c r="H947" s="38"/>
      <c r="I947" s="32"/>
    </row>
    <row r="948" spans="1:9" x14ac:dyDescent="0.25">
      <c r="A948" s="1"/>
      <c r="B948" s="9"/>
      <c r="C948" s="37"/>
      <c r="D948" s="27"/>
      <c r="E948" s="151"/>
      <c r="F948" s="28"/>
      <c r="G948" s="29"/>
      <c r="H948" s="38"/>
      <c r="I948" s="32"/>
    </row>
    <row r="949" spans="1:9" x14ac:dyDescent="0.25">
      <c r="A949" s="1"/>
      <c r="B949" s="9"/>
      <c r="C949" s="37"/>
      <c r="D949" s="27"/>
      <c r="E949" s="151"/>
      <c r="F949" s="28"/>
      <c r="G949" s="29"/>
      <c r="H949" s="38"/>
      <c r="I949" s="32"/>
    </row>
    <row r="950" spans="1:9" x14ac:dyDescent="0.25">
      <c r="A950" s="1"/>
      <c r="B950" s="9"/>
      <c r="C950" s="37"/>
      <c r="D950" s="27"/>
      <c r="E950" s="151"/>
      <c r="F950" s="28"/>
      <c r="G950" s="29"/>
      <c r="H950" s="38"/>
      <c r="I950" s="32"/>
    </row>
    <row r="951" spans="1:9" x14ac:dyDescent="0.25">
      <c r="A951" s="1"/>
      <c r="B951" s="9"/>
      <c r="C951" s="37"/>
      <c r="D951" s="27"/>
      <c r="E951" s="151"/>
      <c r="F951" s="28"/>
      <c r="G951" s="29"/>
      <c r="H951" s="38"/>
      <c r="I951" s="32"/>
    </row>
    <row r="952" spans="1:9" x14ac:dyDescent="0.25">
      <c r="A952" s="1"/>
      <c r="B952" s="9"/>
      <c r="C952" s="37"/>
      <c r="D952" s="27"/>
      <c r="E952" s="151"/>
      <c r="F952" s="28"/>
      <c r="G952" s="29"/>
      <c r="H952" s="38"/>
      <c r="I952" s="32"/>
    </row>
    <row r="953" spans="1:9" x14ac:dyDescent="0.25">
      <c r="A953" s="1"/>
      <c r="B953" s="9"/>
      <c r="C953" s="37"/>
      <c r="D953" s="27"/>
      <c r="E953" s="151"/>
      <c r="F953" s="28"/>
      <c r="G953" s="29"/>
      <c r="H953" s="38"/>
      <c r="I953" s="32"/>
    </row>
    <row r="954" spans="1:9" x14ac:dyDescent="0.25">
      <c r="A954" s="1"/>
      <c r="B954" s="9"/>
      <c r="C954" s="37"/>
      <c r="D954" s="27"/>
      <c r="E954" s="151"/>
      <c r="F954" s="28"/>
      <c r="G954" s="29"/>
      <c r="H954" s="38"/>
      <c r="I954" s="32"/>
    </row>
    <row r="955" spans="1:9" x14ac:dyDescent="0.25">
      <c r="A955" s="1"/>
      <c r="B955" s="9"/>
      <c r="C955" s="37"/>
      <c r="D955" s="27"/>
      <c r="E955" s="151"/>
      <c r="F955" s="28"/>
      <c r="G955" s="29"/>
      <c r="H955" s="38"/>
      <c r="I955" s="32"/>
    </row>
    <row r="956" spans="1:9" x14ac:dyDescent="0.25">
      <c r="A956" s="1"/>
      <c r="B956" s="9"/>
      <c r="C956" s="37"/>
      <c r="D956" s="27"/>
      <c r="E956" s="151"/>
      <c r="F956" s="28"/>
      <c r="G956" s="29"/>
      <c r="H956" s="38"/>
      <c r="I956" s="32"/>
    </row>
    <row r="957" spans="1:9" x14ac:dyDescent="0.25">
      <c r="A957" s="1"/>
      <c r="B957" s="9"/>
      <c r="C957" s="37"/>
      <c r="D957" s="27"/>
      <c r="E957" s="151"/>
      <c r="F957" s="28"/>
      <c r="G957" s="29"/>
      <c r="H957" s="38"/>
      <c r="I957" s="32"/>
    </row>
    <row r="958" spans="1:9" x14ac:dyDescent="0.25">
      <c r="A958" s="1"/>
      <c r="B958" s="9"/>
      <c r="C958" s="37"/>
      <c r="D958" s="27"/>
      <c r="E958" s="151"/>
      <c r="F958" s="28"/>
      <c r="G958" s="29"/>
      <c r="H958" s="38"/>
      <c r="I958" s="32"/>
    </row>
    <row r="959" spans="1:9" x14ac:dyDescent="0.25">
      <c r="A959" s="1"/>
      <c r="B959" s="9"/>
      <c r="C959" s="37"/>
      <c r="D959" s="27"/>
      <c r="E959" s="151"/>
      <c r="F959" s="28"/>
      <c r="G959" s="29"/>
      <c r="H959" s="38"/>
      <c r="I959" s="32"/>
    </row>
    <row r="960" spans="1:9" x14ac:dyDescent="0.25">
      <c r="A960" s="1"/>
      <c r="B960" s="9"/>
      <c r="C960" s="37"/>
      <c r="D960" s="27"/>
      <c r="E960" s="151"/>
      <c r="F960" s="28"/>
      <c r="G960" s="29"/>
      <c r="H960" s="38"/>
      <c r="I960" s="32"/>
    </row>
    <row r="961" spans="1:9" x14ac:dyDescent="0.25">
      <c r="A961" s="1"/>
      <c r="B961" s="9"/>
      <c r="C961" s="37"/>
      <c r="D961" s="27"/>
      <c r="E961" s="151"/>
      <c r="F961" s="28"/>
      <c r="G961" s="29"/>
      <c r="H961" s="38"/>
      <c r="I961" s="32"/>
    </row>
    <row r="962" spans="1:9" x14ac:dyDescent="0.25">
      <c r="A962" s="1"/>
      <c r="B962" s="9"/>
      <c r="C962" s="37"/>
      <c r="D962" s="27"/>
      <c r="E962" s="151"/>
      <c r="F962" s="28"/>
      <c r="G962" s="29"/>
      <c r="H962" s="38"/>
      <c r="I962" s="32"/>
    </row>
    <row r="963" spans="1:9" x14ac:dyDescent="0.25">
      <c r="A963" s="1"/>
      <c r="B963" s="9"/>
      <c r="C963" s="37"/>
      <c r="D963" s="27"/>
      <c r="E963" s="151"/>
      <c r="F963" s="28"/>
      <c r="G963" s="29"/>
      <c r="H963" s="38"/>
      <c r="I963" s="32"/>
    </row>
    <row r="964" spans="1:9" x14ac:dyDescent="0.25">
      <c r="A964" s="1"/>
      <c r="B964" s="9"/>
      <c r="C964" s="37"/>
      <c r="D964" s="27"/>
      <c r="E964" s="151"/>
      <c r="F964" s="28"/>
      <c r="G964" s="29"/>
      <c r="H964" s="38"/>
      <c r="I964" s="32"/>
    </row>
    <row r="965" spans="1:9" x14ac:dyDescent="0.25">
      <c r="A965" s="1"/>
      <c r="B965" s="9"/>
      <c r="C965" s="37"/>
      <c r="D965" s="27"/>
      <c r="E965" s="151"/>
      <c r="F965" s="28"/>
      <c r="G965" s="29"/>
      <c r="H965" s="38"/>
      <c r="I965" s="32"/>
    </row>
    <row r="966" spans="1:9" x14ac:dyDescent="0.25">
      <c r="A966" s="1"/>
      <c r="B966" s="9"/>
      <c r="C966" s="37"/>
      <c r="D966" s="27"/>
      <c r="E966" s="151"/>
      <c r="F966" s="28"/>
      <c r="G966" s="29"/>
      <c r="H966" s="38"/>
      <c r="I966" s="32"/>
    </row>
    <row r="967" spans="1:9" x14ac:dyDescent="0.25">
      <c r="A967" s="1"/>
      <c r="B967" s="9"/>
      <c r="C967" s="37"/>
      <c r="D967" s="27"/>
      <c r="E967" s="151"/>
      <c r="F967" s="28"/>
      <c r="G967" s="29"/>
      <c r="H967" s="38"/>
      <c r="I967" s="32"/>
    </row>
    <row r="968" spans="1:9" x14ac:dyDescent="0.25">
      <c r="A968" s="1"/>
      <c r="B968" s="9"/>
      <c r="C968" s="37"/>
      <c r="D968" s="27"/>
      <c r="E968" s="151"/>
      <c r="F968" s="28"/>
      <c r="G968" s="29"/>
      <c r="H968" s="38"/>
      <c r="I968" s="32"/>
    </row>
    <row r="969" spans="1:9" x14ac:dyDescent="0.25">
      <c r="A969" s="1"/>
      <c r="B969" s="9"/>
      <c r="C969" s="37"/>
      <c r="D969" s="27"/>
      <c r="E969" s="151"/>
      <c r="F969" s="28"/>
      <c r="G969" s="29"/>
      <c r="H969" s="38"/>
      <c r="I969" s="32"/>
    </row>
    <row r="970" spans="1:9" x14ac:dyDescent="0.25">
      <c r="A970" s="1"/>
      <c r="B970" s="9"/>
      <c r="C970" s="37"/>
      <c r="D970" s="27"/>
      <c r="E970" s="151"/>
      <c r="F970" s="28"/>
      <c r="G970" s="29"/>
      <c r="H970" s="38"/>
      <c r="I970" s="32"/>
    </row>
    <row r="971" spans="1:9" x14ac:dyDescent="0.25">
      <c r="A971" s="1"/>
      <c r="B971" s="9"/>
      <c r="C971" s="37"/>
      <c r="D971" s="27"/>
      <c r="E971" s="151"/>
      <c r="F971" s="28"/>
      <c r="G971" s="29"/>
      <c r="H971" s="38"/>
      <c r="I971" s="32"/>
    </row>
    <row r="972" spans="1:9" x14ac:dyDescent="0.25">
      <c r="A972" s="1"/>
      <c r="B972" s="9"/>
      <c r="C972" s="37"/>
      <c r="D972" s="27"/>
      <c r="E972" s="151"/>
      <c r="F972" s="28"/>
      <c r="G972" s="29"/>
      <c r="H972" s="38"/>
      <c r="I972" s="32"/>
    </row>
    <row r="973" spans="1:9" x14ac:dyDescent="0.25">
      <c r="A973" s="1"/>
      <c r="B973" s="9"/>
      <c r="C973" s="37"/>
      <c r="D973" s="27"/>
      <c r="E973" s="151"/>
      <c r="F973" s="28"/>
      <c r="G973" s="29"/>
      <c r="H973" s="38"/>
      <c r="I973" s="32"/>
    </row>
    <row r="974" spans="1:9" x14ac:dyDescent="0.25">
      <c r="A974" s="1"/>
      <c r="B974" s="9"/>
      <c r="C974" s="37"/>
      <c r="D974" s="27"/>
      <c r="E974" s="151"/>
      <c r="F974" s="28"/>
      <c r="G974" s="29"/>
      <c r="H974" s="38"/>
      <c r="I974" s="32"/>
    </row>
    <row r="975" spans="1:9" x14ac:dyDescent="0.25">
      <c r="A975" s="1"/>
      <c r="B975" s="9"/>
      <c r="C975" s="37"/>
      <c r="D975" s="27"/>
      <c r="E975" s="151"/>
      <c r="F975" s="28"/>
      <c r="G975" s="29"/>
      <c r="H975" s="38"/>
      <c r="I975" s="32"/>
    </row>
    <row r="976" spans="1:9" x14ac:dyDescent="0.25">
      <c r="A976" s="1"/>
      <c r="B976" s="9"/>
      <c r="C976" s="37"/>
      <c r="D976" s="27"/>
      <c r="E976" s="151"/>
      <c r="F976" s="28"/>
      <c r="G976" s="29"/>
      <c r="H976" s="38"/>
      <c r="I976" s="32"/>
    </row>
    <row r="977" spans="1:9" x14ac:dyDescent="0.25">
      <c r="A977" s="1"/>
      <c r="B977" s="9"/>
      <c r="C977" s="37"/>
      <c r="D977" s="27"/>
      <c r="E977" s="151"/>
      <c r="F977" s="28"/>
      <c r="G977" s="29"/>
      <c r="H977" s="38"/>
      <c r="I977" s="32"/>
    </row>
    <row r="978" spans="1:9" x14ac:dyDescent="0.25">
      <c r="A978" s="1"/>
      <c r="B978" s="9"/>
      <c r="C978" s="37"/>
      <c r="D978" s="27"/>
      <c r="E978" s="151"/>
      <c r="F978" s="28"/>
      <c r="G978" s="29"/>
      <c r="H978" s="38"/>
      <c r="I978" s="32"/>
    </row>
    <row r="979" spans="1:9" x14ac:dyDescent="0.25">
      <c r="A979" s="1"/>
      <c r="B979" s="9"/>
      <c r="C979" s="37"/>
      <c r="D979" s="27"/>
      <c r="E979" s="151"/>
      <c r="F979" s="28"/>
      <c r="G979" s="29"/>
      <c r="H979" s="38"/>
      <c r="I979" s="32"/>
    </row>
    <row r="980" spans="1:9" x14ac:dyDescent="0.25">
      <c r="A980" s="1"/>
      <c r="B980" s="9"/>
      <c r="C980" s="37"/>
      <c r="D980" s="27"/>
      <c r="E980" s="151"/>
      <c r="F980" s="28"/>
      <c r="G980" s="29"/>
      <c r="H980" s="38"/>
      <c r="I980" s="32"/>
    </row>
    <row r="981" spans="1:9" x14ac:dyDescent="0.25">
      <c r="A981" s="1"/>
      <c r="B981" s="9"/>
      <c r="C981" s="37"/>
      <c r="D981" s="27"/>
      <c r="E981" s="151"/>
      <c r="F981" s="28"/>
      <c r="G981" s="29"/>
      <c r="H981" s="38"/>
      <c r="I981" s="32"/>
    </row>
    <row r="982" spans="1:9" x14ac:dyDescent="0.25">
      <c r="A982" s="1"/>
      <c r="B982" s="9"/>
      <c r="C982" s="37"/>
      <c r="D982" s="27"/>
      <c r="E982" s="151"/>
      <c r="F982" s="28"/>
      <c r="G982" s="29"/>
      <c r="H982" s="38"/>
      <c r="I982" s="32"/>
    </row>
    <row r="983" spans="1:9" x14ac:dyDescent="0.25">
      <c r="A983" s="1"/>
      <c r="B983" s="9"/>
      <c r="C983" s="37"/>
      <c r="D983" s="27"/>
      <c r="E983" s="151"/>
      <c r="F983" s="28"/>
      <c r="G983" s="29"/>
      <c r="H983" s="38"/>
      <c r="I983" s="32"/>
    </row>
    <row r="984" spans="1:9" x14ac:dyDescent="0.25">
      <c r="A984" s="1"/>
      <c r="B984" s="9"/>
      <c r="C984" s="37"/>
      <c r="D984" s="27"/>
      <c r="E984" s="151"/>
      <c r="F984" s="28"/>
      <c r="G984" s="29"/>
      <c r="H984" s="38"/>
      <c r="I984" s="32"/>
    </row>
    <row r="985" spans="1:9" x14ac:dyDescent="0.25">
      <c r="A985" s="1"/>
      <c r="B985" s="9"/>
      <c r="C985" s="37"/>
      <c r="D985" s="27"/>
      <c r="E985" s="151"/>
      <c r="F985" s="28"/>
      <c r="G985" s="29"/>
      <c r="H985" s="38"/>
      <c r="I985" s="32"/>
    </row>
    <row r="986" spans="1:9" x14ac:dyDescent="0.25">
      <c r="A986" s="1"/>
      <c r="B986" s="9"/>
      <c r="C986" s="37"/>
      <c r="D986" s="27"/>
      <c r="E986" s="151"/>
      <c r="F986" s="28"/>
      <c r="G986" s="29"/>
      <c r="H986" s="38"/>
      <c r="I986" s="32"/>
    </row>
    <row r="987" spans="1:9" x14ac:dyDescent="0.25">
      <c r="A987" s="1"/>
      <c r="B987" s="9"/>
      <c r="C987" s="37"/>
      <c r="D987" s="27"/>
      <c r="E987" s="151"/>
      <c r="F987" s="28"/>
      <c r="G987" s="29"/>
      <c r="H987" s="38"/>
      <c r="I987" s="32"/>
    </row>
    <row r="988" spans="1:9" x14ac:dyDescent="0.25">
      <c r="A988" s="1"/>
      <c r="B988" s="9"/>
      <c r="C988" s="37"/>
      <c r="D988" s="27"/>
      <c r="E988" s="151"/>
      <c r="F988" s="28"/>
      <c r="G988" s="29"/>
      <c r="H988" s="38"/>
      <c r="I988" s="32"/>
    </row>
    <row r="989" spans="1:9" x14ac:dyDescent="0.25">
      <c r="A989" s="1"/>
      <c r="B989" s="9"/>
      <c r="C989" s="37"/>
      <c r="D989" s="27"/>
      <c r="E989" s="151"/>
      <c r="F989" s="28"/>
      <c r="G989" s="29"/>
      <c r="H989" s="38"/>
      <c r="I989" s="32"/>
    </row>
    <row r="990" spans="1:9" x14ac:dyDescent="0.25">
      <c r="A990" s="1"/>
      <c r="B990" s="9"/>
      <c r="C990" s="37"/>
      <c r="D990" s="27"/>
      <c r="E990" s="151"/>
      <c r="F990" s="28"/>
      <c r="G990" s="29"/>
      <c r="H990" s="38"/>
      <c r="I990" s="32"/>
    </row>
    <row r="991" spans="1:9" x14ac:dyDescent="0.25">
      <c r="A991" s="1"/>
      <c r="B991" s="9"/>
      <c r="C991" s="37"/>
      <c r="D991" s="27"/>
      <c r="E991" s="151"/>
      <c r="F991" s="28"/>
      <c r="G991" s="29"/>
      <c r="H991" s="38"/>
      <c r="I991" s="32"/>
    </row>
    <row r="992" spans="1:9" x14ac:dyDescent="0.25">
      <c r="A992" s="1"/>
      <c r="B992" s="9"/>
      <c r="C992" s="37"/>
      <c r="D992" s="27"/>
      <c r="E992" s="151"/>
      <c r="F992" s="28"/>
      <c r="G992" s="29"/>
      <c r="H992" s="38"/>
      <c r="I992" s="32"/>
    </row>
    <row r="993" spans="1:9" x14ac:dyDescent="0.25">
      <c r="A993" s="1"/>
      <c r="B993" s="9"/>
      <c r="C993" s="37"/>
      <c r="D993" s="27"/>
      <c r="E993" s="151"/>
      <c r="F993" s="28"/>
      <c r="G993" s="29"/>
      <c r="H993" s="38"/>
      <c r="I993" s="32"/>
    </row>
    <row r="994" spans="1:9" x14ac:dyDescent="0.25">
      <c r="A994" s="1"/>
      <c r="B994" s="9"/>
      <c r="C994" s="37"/>
      <c r="D994" s="27"/>
      <c r="E994" s="151"/>
      <c r="F994" s="28"/>
      <c r="G994" s="29"/>
      <c r="H994" s="38"/>
      <c r="I994" s="32"/>
    </row>
    <row r="995" spans="1:9" x14ac:dyDescent="0.25">
      <c r="A995" s="1"/>
      <c r="B995" s="9"/>
      <c r="C995" s="37"/>
      <c r="D995" s="27"/>
      <c r="E995" s="151"/>
      <c r="F995" s="28"/>
      <c r="G995" s="29"/>
      <c r="H995" s="38"/>
      <c r="I995" s="32"/>
    </row>
    <row r="996" spans="1:9" x14ac:dyDescent="0.25">
      <c r="A996" s="1"/>
      <c r="B996" s="9"/>
      <c r="C996" s="37"/>
      <c r="D996" s="27"/>
      <c r="E996" s="151"/>
      <c r="F996" s="28"/>
      <c r="G996" s="29"/>
      <c r="H996" s="38"/>
      <c r="I996" s="32"/>
    </row>
    <row r="997" spans="1:9" x14ac:dyDescent="0.25">
      <c r="A997" s="1"/>
      <c r="B997" s="9"/>
      <c r="C997" s="37"/>
      <c r="D997" s="27"/>
      <c r="E997" s="151"/>
      <c r="F997" s="28"/>
      <c r="G997" s="29"/>
      <c r="H997" s="38"/>
      <c r="I997" s="32"/>
    </row>
    <row r="998" spans="1:9" x14ac:dyDescent="0.25">
      <c r="A998" s="1"/>
      <c r="B998" s="9"/>
      <c r="C998" s="37"/>
      <c r="D998" s="27"/>
      <c r="E998" s="151"/>
      <c r="F998" s="28"/>
      <c r="G998" s="29"/>
      <c r="H998" s="38"/>
      <c r="I998" s="32"/>
    </row>
    <row r="999" spans="1:9" x14ac:dyDescent="0.25">
      <c r="A999" s="1"/>
      <c r="B999" s="9"/>
      <c r="C999" s="37"/>
      <c r="D999" s="27"/>
      <c r="E999" s="151"/>
      <c r="F999" s="28"/>
      <c r="G999" s="29"/>
      <c r="H999" s="38"/>
      <c r="I999" s="32"/>
    </row>
    <row r="1000" spans="1:9" x14ac:dyDescent="0.25">
      <c r="A1000" s="1"/>
      <c r="B1000" s="9"/>
      <c r="C1000" s="37"/>
      <c r="D1000" s="27"/>
      <c r="E1000" s="151"/>
      <c r="F1000" s="28"/>
      <c r="G1000" s="29"/>
      <c r="H1000" s="38"/>
      <c r="I1000" s="32"/>
    </row>
    <row r="1001" spans="1:9" x14ac:dyDescent="0.25">
      <c r="A1001" s="1"/>
      <c r="B1001" s="9"/>
      <c r="C1001" s="37"/>
      <c r="D1001" s="27"/>
      <c r="E1001" s="151"/>
      <c r="F1001" s="28"/>
      <c r="G1001" s="29"/>
      <c r="H1001" s="38"/>
      <c r="I1001" s="32"/>
    </row>
    <row r="1002" spans="1:9" x14ac:dyDescent="0.25">
      <c r="A1002" s="1"/>
      <c r="B1002" s="9"/>
      <c r="C1002" s="37"/>
      <c r="D1002" s="27"/>
      <c r="E1002" s="151"/>
      <c r="F1002" s="28"/>
      <c r="G1002" s="29"/>
      <c r="H1002" s="38"/>
      <c r="I1002" s="32"/>
    </row>
    <row r="1003" spans="1:9" x14ac:dyDescent="0.25">
      <c r="A1003" s="1"/>
      <c r="B1003" s="9"/>
      <c r="C1003" s="37"/>
      <c r="D1003" s="27"/>
      <c r="E1003" s="151"/>
      <c r="F1003" s="28"/>
      <c r="G1003" s="29"/>
      <c r="H1003" s="38"/>
      <c r="I1003" s="32"/>
    </row>
    <row r="1004" spans="1:9" x14ac:dyDescent="0.25">
      <c r="A1004" s="1"/>
      <c r="B1004" s="9"/>
      <c r="C1004" s="37"/>
      <c r="D1004" s="27"/>
      <c r="E1004" s="151"/>
      <c r="F1004" s="28"/>
      <c r="G1004" s="29"/>
      <c r="H1004" s="38"/>
      <c r="I1004" s="32"/>
    </row>
    <row r="1005" spans="1:9" x14ac:dyDescent="0.25">
      <c r="A1005" s="1"/>
      <c r="B1005" s="9"/>
      <c r="C1005" s="37"/>
      <c r="D1005" s="27"/>
      <c r="E1005" s="151"/>
      <c r="F1005" s="28"/>
      <c r="G1005" s="29"/>
      <c r="H1005" s="38"/>
      <c r="I1005" s="32"/>
    </row>
    <row r="1006" spans="1:9" x14ac:dyDescent="0.25">
      <c r="A1006" s="1"/>
      <c r="B1006" s="9"/>
      <c r="C1006" s="37"/>
      <c r="D1006" s="27"/>
      <c r="E1006" s="151"/>
      <c r="F1006" s="28"/>
      <c r="G1006" s="29"/>
      <c r="H1006" s="38"/>
      <c r="I1006" s="32"/>
    </row>
    <row r="1007" spans="1:9" x14ac:dyDescent="0.25">
      <c r="A1007" s="1"/>
      <c r="B1007" s="9"/>
      <c r="C1007" s="37"/>
      <c r="D1007" s="27"/>
      <c r="E1007" s="151"/>
      <c r="F1007" s="28"/>
      <c r="G1007" s="29"/>
      <c r="H1007" s="38"/>
      <c r="I1007" s="32"/>
    </row>
    <row r="1008" spans="1:9" x14ac:dyDescent="0.25">
      <c r="A1008" s="1"/>
      <c r="B1008" s="9"/>
      <c r="C1008" s="37"/>
      <c r="D1008" s="27"/>
      <c r="E1008" s="151"/>
      <c r="F1008" s="28"/>
      <c r="G1008" s="29"/>
      <c r="H1008" s="38"/>
      <c r="I1008" s="32"/>
    </row>
    <row r="1009" spans="1:9" x14ac:dyDescent="0.25">
      <c r="A1009" s="1"/>
      <c r="B1009" s="9"/>
      <c r="C1009" s="37"/>
      <c r="D1009" s="27"/>
      <c r="E1009" s="151"/>
      <c r="F1009" s="28"/>
      <c r="G1009" s="29"/>
      <c r="H1009" s="38"/>
      <c r="I1009" s="32"/>
    </row>
    <row r="1010" spans="1:9" x14ac:dyDescent="0.25">
      <c r="A1010" s="1"/>
      <c r="B1010" s="9"/>
      <c r="C1010" s="37"/>
      <c r="D1010" s="27"/>
      <c r="E1010" s="151"/>
      <c r="F1010" s="28"/>
      <c r="G1010" s="29"/>
      <c r="H1010" s="38"/>
      <c r="I1010" s="32"/>
    </row>
    <row r="1011" spans="1:9" x14ac:dyDescent="0.25">
      <c r="A1011" s="1"/>
      <c r="B1011" s="9"/>
      <c r="C1011" s="37"/>
      <c r="D1011" s="27"/>
      <c r="E1011" s="151"/>
      <c r="F1011" s="28"/>
      <c r="G1011" s="29"/>
      <c r="H1011" s="38"/>
      <c r="I1011" s="32"/>
    </row>
    <row r="1012" spans="1:9" x14ac:dyDescent="0.25">
      <c r="A1012" s="1"/>
      <c r="B1012" s="9"/>
      <c r="C1012" s="37"/>
      <c r="D1012" s="27"/>
      <c r="E1012" s="151"/>
      <c r="F1012" s="28"/>
      <c r="G1012" s="29"/>
      <c r="H1012" s="38"/>
      <c r="I1012" s="32"/>
    </row>
    <row r="1013" spans="1:9" x14ac:dyDescent="0.25">
      <c r="A1013" s="1"/>
      <c r="B1013" s="9"/>
      <c r="C1013" s="37"/>
      <c r="D1013" s="27"/>
      <c r="E1013" s="151"/>
      <c r="F1013" s="28"/>
      <c r="G1013" s="29"/>
      <c r="H1013" s="38"/>
      <c r="I1013" s="32"/>
    </row>
    <row r="1014" spans="1:9" x14ac:dyDescent="0.25">
      <c r="A1014" s="1"/>
      <c r="B1014" s="9"/>
      <c r="C1014" s="37"/>
      <c r="D1014" s="27"/>
      <c r="E1014" s="151"/>
      <c r="F1014" s="28"/>
      <c r="G1014" s="29"/>
      <c r="H1014" s="38"/>
      <c r="I1014" s="32"/>
    </row>
    <row r="1015" spans="1:9" x14ac:dyDescent="0.25">
      <c r="A1015" s="1"/>
      <c r="B1015" s="9"/>
      <c r="C1015" s="37"/>
      <c r="D1015" s="27"/>
      <c r="E1015" s="151"/>
      <c r="F1015" s="28"/>
      <c r="G1015" s="29"/>
      <c r="H1015" s="38"/>
      <c r="I1015" s="32"/>
    </row>
    <row r="1016" spans="1:9" x14ac:dyDescent="0.25">
      <c r="A1016" s="1"/>
      <c r="B1016" s="9"/>
      <c r="C1016" s="37"/>
      <c r="D1016" s="27"/>
      <c r="E1016" s="151"/>
      <c r="F1016" s="28"/>
      <c r="G1016" s="29"/>
      <c r="H1016" s="38"/>
      <c r="I1016" s="32"/>
    </row>
    <row r="1017" spans="1:9" x14ac:dyDescent="0.25">
      <c r="A1017" s="1"/>
      <c r="B1017" s="9"/>
      <c r="C1017" s="37"/>
      <c r="D1017" s="27"/>
      <c r="E1017" s="151"/>
      <c r="F1017" s="28"/>
      <c r="G1017" s="29"/>
      <c r="H1017" s="38"/>
      <c r="I1017" s="32"/>
    </row>
    <row r="1018" spans="1:9" x14ac:dyDescent="0.25">
      <c r="A1018" s="1"/>
      <c r="B1018" s="9"/>
      <c r="C1018" s="37"/>
      <c r="D1018" s="27"/>
      <c r="E1018" s="151"/>
      <c r="F1018" s="28"/>
      <c r="G1018" s="29"/>
      <c r="H1018" s="38"/>
      <c r="I1018" s="32"/>
    </row>
    <row r="1019" spans="1:9" x14ac:dyDescent="0.25">
      <c r="A1019" s="1"/>
      <c r="B1019" s="9"/>
      <c r="C1019" s="37"/>
      <c r="D1019" s="27"/>
      <c r="E1019" s="151"/>
      <c r="F1019" s="28"/>
      <c r="G1019" s="29"/>
      <c r="H1019" s="38"/>
      <c r="I1019" s="32"/>
    </row>
    <row r="1020" spans="1:9" x14ac:dyDescent="0.25">
      <c r="A1020" s="1"/>
      <c r="B1020" s="9"/>
      <c r="C1020" s="37"/>
      <c r="D1020" s="27"/>
      <c r="E1020" s="151"/>
      <c r="F1020" s="28"/>
      <c r="G1020" s="29"/>
      <c r="H1020" s="38"/>
      <c r="I1020" s="32"/>
    </row>
    <row r="1021" spans="1:9" x14ac:dyDescent="0.25">
      <c r="A1021" s="1"/>
      <c r="B1021" s="9"/>
      <c r="C1021" s="37"/>
      <c r="D1021" s="27"/>
      <c r="E1021" s="151"/>
      <c r="F1021" s="28"/>
      <c r="G1021" s="29"/>
      <c r="H1021" s="38"/>
      <c r="I1021" s="32"/>
    </row>
    <row r="1022" spans="1:9" x14ac:dyDescent="0.25">
      <c r="A1022" s="1"/>
      <c r="B1022" s="9"/>
      <c r="C1022" s="37"/>
      <c r="D1022" s="27"/>
      <c r="E1022" s="151"/>
      <c r="F1022" s="28"/>
      <c r="G1022" s="29"/>
      <c r="H1022" s="38"/>
      <c r="I1022" s="32"/>
    </row>
    <row r="1023" spans="1:9" x14ac:dyDescent="0.25">
      <c r="A1023" s="1"/>
      <c r="B1023" s="9"/>
      <c r="C1023" s="37"/>
      <c r="D1023" s="27"/>
      <c r="E1023" s="151"/>
      <c r="F1023" s="28"/>
      <c r="G1023" s="29"/>
      <c r="H1023" s="38"/>
      <c r="I1023" s="32"/>
    </row>
    <row r="1024" spans="1:9" x14ac:dyDescent="0.25">
      <c r="A1024" s="1"/>
      <c r="B1024" s="9"/>
      <c r="C1024" s="37"/>
      <c r="D1024" s="27"/>
      <c r="E1024" s="151"/>
      <c r="F1024" s="28"/>
      <c r="G1024" s="29"/>
      <c r="H1024" s="38"/>
      <c r="I1024" s="32"/>
    </row>
    <row r="1025" spans="1:9" x14ac:dyDescent="0.25">
      <c r="A1025" s="1"/>
      <c r="B1025" s="9"/>
      <c r="C1025" s="37"/>
      <c r="D1025" s="27"/>
      <c r="E1025" s="151"/>
      <c r="F1025" s="28"/>
      <c r="G1025" s="29"/>
      <c r="H1025" s="38"/>
      <c r="I1025" s="32"/>
    </row>
    <row r="1026" spans="1:9" x14ac:dyDescent="0.25">
      <c r="A1026" s="1"/>
      <c r="B1026" s="9"/>
      <c r="C1026" s="37"/>
      <c r="D1026" s="27"/>
      <c r="E1026" s="151"/>
      <c r="F1026" s="28"/>
      <c r="G1026" s="29"/>
      <c r="H1026" s="38"/>
      <c r="I1026" s="32"/>
    </row>
    <row r="1027" spans="1:9" x14ac:dyDescent="0.25">
      <c r="A1027" s="1"/>
      <c r="B1027" s="9"/>
      <c r="C1027" s="37"/>
      <c r="D1027" s="27"/>
      <c r="E1027" s="151"/>
      <c r="F1027" s="28"/>
      <c r="G1027" s="29"/>
      <c r="H1027" s="38"/>
      <c r="I1027" s="32"/>
    </row>
    <row r="1028" spans="1:9" x14ac:dyDescent="0.25">
      <c r="A1028" s="1"/>
      <c r="B1028" s="9"/>
      <c r="C1028" s="37"/>
      <c r="D1028" s="27"/>
      <c r="E1028" s="151"/>
      <c r="F1028" s="28"/>
      <c r="G1028" s="29"/>
      <c r="H1028" s="38"/>
      <c r="I1028" s="32"/>
    </row>
    <row r="1029" spans="1:9" x14ac:dyDescent="0.25">
      <c r="A1029" s="1"/>
      <c r="B1029" s="9"/>
      <c r="C1029" s="37"/>
      <c r="D1029" s="27"/>
      <c r="E1029" s="151"/>
      <c r="F1029" s="28"/>
      <c r="G1029" s="29"/>
      <c r="H1029" s="38"/>
      <c r="I1029" s="32"/>
    </row>
    <row r="1030" spans="1:9" x14ac:dyDescent="0.25">
      <c r="A1030" s="1"/>
      <c r="B1030" s="9"/>
      <c r="C1030" s="37"/>
      <c r="D1030" s="27"/>
      <c r="E1030" s="151"/>
      <c r="F1030" s="28"/>
      <c r="G1030" s="29"/>
      <c r="H1030" s="38"/>
      <c r="I1030" s="32"/>
    </row>
    <row r="1031" spans="1:9" x14ac:dyDescent="0.25">
      <c r="A1031" s="1"/>
      <c r="B1031" s="9"/>
      <c r="C1031" s="37"/>
      <c r="D1031" s="27"/>
      <c r="E1031" s="151"/>
      <c r="F1031" s="28"/>
      <c r="G1031" s="29"/>
      <c r="H1031" s="38"/>
      <c r="I1031" s="32"/>
    </row>
    <row r="1032" spans="1:9" x14ac:dyDescent="0.25">
      <c r="A1032" s="1"/>
      <c r="B1032" s="9"/>
      <c r="C1032" s="37"/>
      <c r="D1032" s="27"/>
      <c r="E1032" s="151"/>
      <c r="F1032" s="28"/>
      <c r="G1032" s="29"/>
      <c r="H1032" s="38"/>
      <c r="I1032" s="32"/>
    </row>
    <row r="1033" spans="1:9" x14ac:dyDescent="0.25">
      <c r="A1033" s="1"/>
      <c r="B1033" s="9"/>
      <c r="C1033" s="37"/>
      <c r="D1033" s="27"/>
      <c r="E1033" s="151"/>
      <c r="F1033" s="28"/>
      <c r="G1033" s="29"/>
      <c r="H1033" s="38"/>
      <c r="I1033" s="32"/>
    </row>
    <row r="1034" spans="1:9" x14ac:dyDescent="0.25">
      <c r="A1034" s="1"/>
      <c r="B1034" s="9"/>
      <c r="C1034" s="37"/>
      <c r="D1034" s="27"/>
      <c r="E1034" s="151"/>
      <c r="F1034" s="28"/>
      <c r="G1034" s="29"/>
      <c r="H1034" s="38"/>
      <c r="I1034" s="32"/>
    </row>
    <row r="1035" spans="1:9" x14ac:dyDescent="0.25">
      <c r="A1035" s="1"/>
      <c r="B1035" s="9"/>
      <c r="C1035" s="37"/>
      <c r="D1035" s="27"/>
      <c r="E1035" s="151"/>
      <c r="F1035" s="28"/>
      <c r="G1035" s="29"/>
      <c r="H1035" s="38"/>
      <c r="I1035" s="32"/>
    </row>
    <row r="1036" spans="1:9" x14ac:dyDescent="0.25">
      <c r="A1036" s="1"/>
      <c r="B1036" s="9"/>
      <c r="C1036" s="37"/>
      <c r="D1036" s="27"/>
      <c r="E1036" s="151"/>
      <c r="F1036" s="28"/>
      <c r="G1036" s="29"/>
      <c r="H1036" s="38"/>
      <c r="I1036" s="32"/>
    </row>
    <row r="1037" spans="1:9" x14ac:dyDescent="0.25">
      <c r="A1037" s="1"/>
      <c r="B1037" s="9"/>
      <c r="C1037" s="37"/>
      <c r="D1037" s="27"/>
      <c r="E1037" s="151"/>
      <c r="F1037" s="28"/>
      <c r="G1037" s="29"/>
      <c r="H1037" s="38"/>
      <c r="I1037" s="32"/>
    </row>
    <row r="1038" spans="1:9" x14ac:dyDescent="0.25">
      <c r="A1038" s="1"/>
      <c r="B1038" s="9"/>
      <c r="C1038" s="37"/>
      <c r="D1038" s="27"/>
      <c r="E1038" s="151"/>
      <c r="F1038" s="28"/>
      <c r="G1038" s="29"/>
      <c r="H1038" s="38"/>
      <c r="I1038" s="32"/>
    </row>
    <row r="1039" spans="1:9" x14ac:dyDescent="0.25">
      <c r="A1039" s="1"/>
      <c r="B1039" s="9"/>
      <c r="C1039" s="37"/>
      <c r="D1039" s="27"/>
      <c r="E1039" s="151"/>
      <c r="F1039" s="28"/>
      <c r="G1039" s="29"/>
      <c r="H1039" s="38"/>
      <c r="I1039" s="32"/>
    </row>
    <row r="1040" spans="1:9" x14ac:dyDescent="0.25">
      <c r="A1040" s="1"/>
      <c r="B1040" s="9"/>
      <c r="C1040" s="37"/>
      <c r="D1040" s="27"/>
      <c r="E1040" s="151"/>
      <c r="F1040" s="28"/>
      <c r="G1040" s="29"/>
      <c r="H1040" s="38"/>
      <c r="I1040" s="32"/>
    </row>
    <row r="1041" spans="1:9" x14ac:dyDescent="0.25">
      <c r="A1041" s="1"/>
      <c r="B1041" s="9"/>
      <c r="C1041" s="37"/>
      <c r="D1041" s="27"/>
      <c r="E1041" s="151"/>
      <c r="F1041" s="28"/>
      <c r="G1041" s="29"/>
      <c r="H1041" s="38"/>
      <c r="I1041" s="32"/>
    </row>
    <row r="1042" spans="1:9" x14ac:dyDescent="0.25">
      <c r="A1042" s="1"/>
      <c r="B1042" s="9"/>
      <c r="C1042" s="37"/>
      <c r="D1042" s="27"/>
      <c r="E1042" s="151"/>
      <c r="F1042" s="28"/>
      <c r="G1042" s="29"/>
      <c r="H1042" s="38"/>
      <c r="I1042" s="32"/>
    </row>
    <row r="1043" spans="1:9" x14ac:dyDescent="0.25">
      <c r="A1043" s="1"/>
      <c r="B1043" s="9"/>
      <c r="C1043" s="37"/>
      <c r="D1043" s="27"/>
      <c r="E1043" s="151"/>
      <c r="F1043" s="28"/>
      <c r="G1043" s="29"/>
      <c r="H1043" s="38"/>
      <c r="I1043" s="32"/>
    </row>
    <row r="1044" spans="1:9" x14ac:dyDescent="0.25">
      <c r="A1044" s="1"/>
      <c r="B1044" s="9"/>
      <c r="C1044" s="37"/>
      <c r="D1044" s="27"/>
      <c r="E1044" s="151"/>
      <c r="F1044" s="28"/>
      <c r="G1044" s="29"/>
      <c r="H1044" s="38"/>
      <c r="I1044" s="32"/>
    </row>
    <row r="1045" spans="1:9" x14ac:dyDescent="0.25">
      <c r="A1045" s="1"/>
      <c r="B1045" s="9"/>
      <c r="C1045" s="37"/>
      <c r="D1045" s="27"/>
      <c r="E1045" s="151"/>
      <c r="F1045" s="28"/>
      <c r="G1045" s="29"/>
      <c r="H1045" s="38"/>
      <c r="I1045" s="32"/>
    </row>
    <row r="1046" spans="1:9" x14ac:dyDescent="0.25">
      <c r="A1046" s="1"/>
      <c r="B1046" s="9"/>
      <c r="C1046" s="37"/>
      <c r="D1046" s="27"/>
      <c r="E1046" s="151"/>
      <c r="F1046" s="28"/>
      <c r="G1046" s="29"/>
      <c r="H1046" s="38"/>
      <c r="I1046" s="32"/>
    </row>
    <row r="1047" spans="1:9" x14ac:dyDescent="0.25">
      <c r="A1047" s="1"/>
      <c r="B1047" s="9"/>
      <c r="C1047" s="37"/>
      <c r="D1047" s="27"/>
      <c r="E1047" s="151"/>
      <c r="F1047" s="28"/>
      <c r="G1047" s="29"/>
      <c r="H1047" s="38"/>
      <c r="I1047" s="32"/>
    </row>
    <row r="1048" spans="1:9" x14ac:dyDescent="0.25">
      <c r="A1048" s="1"/>
      <c r="B1048" s="9"/>
      <c r="C1048" s="37"/>
      <c r="D1048" s="27"/>
      <c r="E1048" s="151"/>
      <c r="F1048" s="28"/>
      <c r="G1048" s="29"/>
      <c r="H1048" s="38"/>
      <c r="I1048" s="32"/>
    </row>
    <row r="1049" spans="1:9" x14ac:dyDescent="0.25">
      <c r="A1049" s="1"/>
      <c r="B1049" s="9"/>
      <c r="C1049" s="37"/>
      <c r="D1049" s="27"/>
      <c r="E1049" s="151"/>
      <c r="F1049" s="28"/>
      <c r="G1049" s="29"/>
      <c r="H1049" s="38"/>
      <c r="I1049" s="32"/>
    </row>
    <row r="1050" spans="1:9" x14ac:dyDescent="0.25">
      <c r="A1050" s="1"/>
      <c r="B1050" s="9"/>
      <c r="C1050" s="37"/>
      <c r="D1050" s="27"/>
      <c r="E1050" s="151"/>
      <c r="F1050" s="28"/>
      <c r="G1050" s="29"/>
      <c r="H1050" s="38"/>
      <c r="I1050" s="32"/>
    </row>
    <row r="1051" spans="1:9" x14ac:dyDescent="0.25">
      <c r="A1051" s="1"/>
      <c r="B1051" s="9"/>
      <c r="C1051" s="37"/>
      <c r="D1051" s="27"/>
      <c r="E1051" s="151"/>
      <c r="F1051" s="28"/>
      <c r="G1051" s="29"/>
      <c r="H1051" s="38"/>
      <c r="I1051" s="32"/>
    </row>
    <row r="1052" spans="1:9" x14ac:dyDescent="0.25">
      <c r="A1052" s="1"/>
      <c r="B1052" s="9"/>
      <c r="C1052" s="37"/>
      <c r="D1052" s="27"/>
      <c r="E1052" s="151"/>
      <c r="F1052" s="28"/>
      <c r="G1052" s="29"/>
      <c r="H1052" s="38"/>
      <c r="I1052" s="32"/>
    </row>
    <row r="1053" spans="1:9" x14ac:dyDescent="0.25">
      <c r="A1053" s="1"/>
      <c r="B1053" s="9"/>
      <c r="C1053" s="37"/>
      <c r="D1053" s="27"/>
      <c r="E1053" s="151"/>
      <c r="F1053" s="28"/>
      <c r="G1053" s="29"/>
      <c r="H1053" s="38"/>
      <c r="I1053" s="32"/>
    </row>
    <row r="1054" spans="1:9" x14ac:dyDescent="0.25">
      <c r="A1054" s="1"/>
      <c r="B1054" s="9"/>
      <c r="C1054" s="37"/>
      <c r="D1054" s="27"/>
      <c r="E1054" s="151"/>
      <c r="F1054" s="28"/>
      <c r="G1054" s="29"/>
      <c r="H1054" s="38"/>
      <c r="I1054" s="32"/>
    </row>
    <row r="1055" spans="1:9" x14ac:dyDescent="0.25">
      <c r="A1055" s="1"/>
      <c r="B1055" s="9"/>
      <c r="C1055" s="37"/>
      <c r="D1055" s="27"/>
      <c r="E1055" s="151"/>
      <c r="F1055" s="28"/>
      <c r="G1055" s="29"/>
      <c r="H1055" s="38"/>
      <c r="I1055" s="32"/>
    </row>
    <row r="1056" spans="1:9" x14ac:dyDescent="0.25">
      <c r="A1056" s="1"/>
      <c r="B1056" s="9"/>
      <c r="C1056" s="37"/>
      <c r="D1056" s="27"/>
      <c r="E1056" s="151"/>
      <c r="F1056" s="28"/>
      <c r="G1056" s="29"/>
      <c r="H1056" s="38"/>
      <c r="I1056" s="32"/>
    </row>
    <row r="1057" spans="1:9" x14ac:dyDescent="0.25">
      <c r="A1057" s="1"/>
      <c r="B1057" s="9"/>
      <c r="C1057" s="37"/>
      <c r="D1057" s="27"/>
      <c r="E1057" s="151"/>
      <c r="F1057" s="28"/>
      <c r="G1057" s="29"/>
      <c r="H1057" s="38"/>
      <c r="I1057" s="32"/>
    </row>
    <row r="1058" spans="1:9" x14ac:dyDescent="0.25">
      <c r="A1058" s="1"/>
      <c r="B1058" s="9"/>
      <c r="C1058" s="37"/>
      <c r="D1058" s="27"/>
      <c r="E1058" s="151"/>
      <c r="F1058" s="28"/>
      <c r="G1058" s="29"/>
      <c r="H1058" s="38"/>
      <c r="I1058" s="32"/>
    </row>
    <row r="1059" spans="1:9" x14ac:dyDescent="0.25">
      <c r="A1059" s="1"/>
      <c r="B1059" s="9"/>
      <c r="C1059" s="37"/>
      <c r="D1059" s="27"/>
      <c r="E1059" s="151"/>
      <c r="F1059" s="28"/>
      <c r="G1059" s="29"/>
      <c r="H1059" s="38"/>
      <c r="I1059" s="32"/>
    </row>
    <row r="1060" spans="1:9" x14ac:dyDescent="0.25">
      <c r="A1060" s="1"/>
      <c r="B1060" s="9"/>
      <c r="C1060" s="37"/>
      <c r="D1060" s="27"/>
      <c r="E1060" s="151"/>
      <c r="F1060" s="28"/>
      <c r="G1060" s="29"/>
      <c r="H1060" s="38"/>
      <c r="I1060" s="32"/>
    </row>
    <row r="1061" spans="1:9" x14ac:dyDescent="0.25">
      <c r="A1061" s="1"/>
      <c r="B1061" s="9"/>
      <c r="C1061" s="37"/>
      <c r="D1061" s="27"/>
      <c r="E1061" s="151"/>
      <c r="F1061" s="28"/>
      <c r="G1061" s="29"/>
      <c r="H1061" s="38"/>
      <c r="I1061" s="32"/>
    </row>
    <row r="1062" spans="1:9" x14ac:dyDescent="0.25">
      <c r="A1062" s="1"/>
      <c r="B1062" s="9"/>
      <c r="C1062" s="37"/>
      <c r="D1062" s="27"/>
      <c r="E1062" s="151"/>
      <c r="F1062" s="28"/>
      <c r="G1062" s="29"/>
      <c r="H1062" s="38"/>
      <c r="I1062" s="32"/>
    </row>
    <row r="1063" spans="1:9" x14ac:dyDescent="0.25">
      <c r="A1063" s="1"/>
      <c r="B1063" s="9"/>
      <c r="C1063" s="37"/>
      <c r="D1063" s="27"/>
      <c r="E1063" s="151"/>
      <c r="F1063" s="28"/>
      <c r="G1063" s="29"/>
      <c r="H1063" s="38"/>
      <c r="I1063" s="32"/>
    </row>
    <row r="1064" spans="1:9" x14ac:dyDescent="0.25">
      <c r="A1064" s="1"/>
      <c r="B1064" s="9"/>
      <c r="C1064" s="37"/>
      <c r="D1064" s="27"/>
      <c r="E1064" s="151"/>
      <c r="F1064" s="28"/>
      <c r="G1064" s="29"/>
      <c r="H1064" s="38"/>
      <c r="I1064" s="32"/>
    </row>
    <row r="1065" spans="1:9" x14ac:dyDescent="0.25">
      <c r="A1065" s="1"/>
      <c r="B1065" s="9"/>
      <c r="C1065" s="37"/>
      <c r="D1065" s="27"/>
      <c r="E1065" s="151"/>
      <c r="F1065" s="28"/>
      <c r="G1065" s="29"/>
      <c r="H1065" s="38"/>
      <c r="I1065" s="32"/>
    </row>
    <row r="1066" spans="1:9" x14ac:dyDescent="0.25">
      <c r="A1066" s="1"/>
      <c r="B1066" s="9"/>
      <c r="C1066" s="37"/>
      <c r="D1066" s="27"/>
      <c r="E1066" s="151"/>
      <c r="F1066" s="28"/>
      <c r="G1066" s="29"/>
      <c r="H1066" s="38"/>
      <c r="I1066" s="32"/>
    </row>
    <row r="1067" spans="1:9" x14ac:dyDescent="0.25">
      <c r="A1067" s="1"/>
      <c r="B1067" s="9"/>
      <c r="C1067" s="37"/>
      <c r="D1067" s="27"/>
      <c r="E1067" s="151"/>
      <c r="F1067" s="28"/>
      <c r="G1067" s="29"/>
      <c r="H1067" s="38"/>
      <c r="I1067" s="32"/>
    </row>
    <row r="1068" spans="1:9" x14ac:dyDescent="0.25">
      <c r="A1068" s="1"/>
      <c r="B1068" s="9"/>
      <c r="C1068" s="37"/>
      <c r="D1068" s="27"/>
      <c r="E1068" s="151"/>
      <c r="F1068" s="28"/>
      <c r="G1068" s="29"/>
      <c r="H1068" s="38"/>
      <c r="I1068" s="32"/>
    </row>
    <row r="1069" spans="1:9" x14ac:dyDescent="0.25">
      <c r="A1069" s="1"/>
      <c r="B1069" s="9"/>
      <c r="C1069" s="37"/>
      <c r="D1069" s="27"/>
      <c r="E1069" s="151"/>
      <c r="F1069" s="28"/>
      <c r="G1069" s="29"/>
      <c r="H1069" s="38"/>
      <c r="I1069" s="32"/>
    </row>
    <row r="1070" spans="1:9" x14ac:dyDescent="0.25">
      <c r="A1070" s="1"/>
      <c r="B1070" s="9"/>
      <c r="C1070" s="37"/>
      <c r="D1070" s="27"/>
      <c r="E1070" s="151"/>
      <c r="F1070" s="28"/>
      <c r="G1070" s="29"/>
      <c r="H1070" s="38"/>
      <c r="I1070" s="32"/>
    </row>
    <row r="1071" spans="1:9" x14ac:dyDescent="0.25">
      <c r="A1071" s="1"/>
      <c r="B1071" s="9"/>
      <c r="C1071" s="37"/>
      <c r="D1071" s="27"/>
      <c r="E1071" s="151"/>
      <c r="F1071" s="28"/>
      <c r="G1071" s="29"/>
      <c r="H1071" s="38"/>
      <c r="I1071" s="32"/>
    </row>
    <row r="1072" spans="1:9" x14ac:dyDescent="0.25">
      <c r="A1072" s="1"/>
      <c r="B1072" s="9"/>
      <c r="C1072" s="37"/>
      <c r="D1072" s="27"/>
      <c r="E1072" s="151"/>
      <c r="F1072" s="28"/>
      <c r="G1072" s="29"/>
      <c r="H1072" s="38"/>
      <c r="I1072" s="32"/>
    </row>
    <row r="1073" spans="1:9" x14ac:dyDescent="0.25">
      <c r="A1073" s="1"/>
      <c r="B1073" s="9"/>
      <c r="C1073" s="37"/>
      <c r="D1073" s="27"/>
      <c r="E1073" s="151"/>
      <c r="F1073" s="28"/>
      <c r="G1073" s="29"/>
      <c r="H1073" s="38"/>
      <c r="I1073" s="32"/>
    </row>
    <row r="1074" spans="1:9" x14ac:dyDescent="0.25">
      <c r="A1074" s="1"/>
      <c r="B1074" s="9"/>
      <c r="C1074" s="37"/>
      <c r="D1074" s="27"/>
      <c r="E1074" s="151"/>
      <c r="F1074" s="28"/>
      <c r="G1074" s="29"/>
      <c r="H1074" s="38"/>
      <c r="I1074" s="32"/>
    </row>
    <row r="1075" spans="1:9" x14ac:dyDescent="0.25">
      <c r="A1075" s="1"/>
      <c r="B1075" s="9"/>
      <c r="C1075" s="37"/>
      <c r="D1075" s="27"/>
      <c r="E1075" s="151"/>
      <c r="F1075" s="28"/>
      <c r="G1075" s="29"/>
      <c r="H1075" s="38"/>
      <c r="I1075" s="32"/>
    </row>
    <row r="1076" spans="1:9" x14ac:dyDescent="0.25">
      <c r="A1076" s="1"/>
      <c r="B1076" s="9"/>
      <c r="C1076" s="37"/>
      <c r="D1076" s="27"/>
      <c r="E1076" s="151"/>
      <c r="F1076" s="28"/>
      <c r="G1076" s="29"/>
      <c r="H1076" s="38"/>
      <c r="I1076" s="32"/>
    </row>
    <row r="1077" spans="1:9" x14ac:dyDescent="0.25">
      <c r="A1077" s="1"/>
      <c r="B1077" s="9"/>
      <c r="C1077" s="37"/>
      <c r="D1077" s="27"/>
      <c r="E1077" s="151"/>
      <c r="F1077" s="28"/>
      <c r="G1077" s="29"/>
      <c r="H1077" s="38"/>
      <c r="I1077" s="32"/>
    </row>
    <row r="1078" spans="1:9" x14ac:dyDescent="0.25">
      <c r="A1078" s="1"/>
      <c r="B1078" s="9"/>
      <c r="C1078" s="37"/>
      <c r="D1078" s="27"/>
      <c r="E1078" s="151"/>
      <c r="F1078" s="28"/>
      <c r="G1078" s="29"/>
      <c r="H1078" s="38"/>
      <c r="I1078" s="32"/>
    </row>
    <row r="1079" spans="1:9" x14ac:dyDescent="0.25">
      <c r="A1079" s="1"/>
      <c r="B1079" s="9"/>
      <c r="C1079" s="37"/>
      <c r="D1079" s="27"/>
      <c r="E1079" s="151"/>
      <c r="F1079" s="28"/>
      <c r="G1079" s="29"/>
      <c r="H1079" s="38"/>
      <c r="I1079" s="32"/>
    </row>
    <row r="1080" spans="1:9" x14ac:dyDescent="0.25">
      <c r="A1080" s="1"/>
      <c r="B1080" s="9"/>
      <c r="C1080" s="37"/>
      <c r="D1080" s="27"/>
      <c r="E1080" s="151"/>
      <c r="F1080" s="28"/>
      <c r="G1080" s="29"/>
      <c r="H1080" s="38"/>
      <c r="I1080" s="32"/>
    </row>
    <row r="1081" spans="1:9" x14ac:dyDescent="0.25">
      <c r="A1081" s="1"/>
      <c r="B1081" s="9"/>
      <c r="C1081" s="37"/>
      <c r="D1081" s="27"/>
      <c r="E1081" s="151"/>
      <c r="F1081" s="28"/>
      <c r="G1081" s="29"/>
      <c r="H1081" s="38"/>
      <c r="I1081" s="32"/>
    </row>
    <row r="1082" spans="1:9" x14ac:dyDescent="0.25">
      <c r="A1082" s="1"/>
      <c r="B1082" s="9"/>
      <c r="C1082" s="37"/>
      <c r="D1082" s="27"/>
      <c r="E1082" s="151"/>
      <c r="F1082" s="28"/>
      <c r="G1082" s="29"/>
      <c r="H1082" s="38"/>
      <c r="I1082" s="32"/>
    </row>
    <row r="1083" spans="1:9" x14ac:dyDescent="0.25">
      <c r="A1083" s="1"/>
      <c r="B1083" s="9"/>
      <c r="C1083" s="37"/>
      <c r="D1083" s="27"/>
      <c r="E1083" s="151"/>
      <c r="F1083" s="28"/>
      <c r="G1083" s="29"/>
      <c r="H1083" s="38"/>
      <c r="I1083" s="32"/>
    </row>
    <row r="1084" spans="1:9" x14ac:dyDescent="0.25">
      <c r="A1084" s="1"/>
      <c r="B1084" s="9"/>
      <c r="C1084" s="37"/>
      <c r="D1084" s="27"/>
      <c r="E1084" s="151"/>
      <c r="F1084" s="28"/>
      <c r="G1084" s="29"/>
      <c r="H1084" s="38"/>
      <c r="I1084" s="32"/>
    </row>
    <row r="1085" spans="1:9" x14ac:dyDescent="0.25">
      <c r="A1085" s="1"/>
      <c r="B1085" s="9"/>
      <c r="C1085" s="37"/>
      <c r="D1085" s="27"/>
      <c r="E1085" s="151"/>
      <c r="F1085" s="28"/>
      <c r="G1085" s="29"/>
      <c r="H1085" s="38"/>
      <c r="I1085" s="32"/>
    </row>
    <row r="1086" spans="1:9" x14ac:dyDescent="0.25">
      <c r="A1086" s="1"/>
      <c r="B1086" s="9"/>
      <c r="C1086" s="37"/>
      <c r="D1086" s="27"/>
      <c r="E1086" s="151"/>
      <c r="F1086" s="28"/>
      <c r="G1086" s="29"/>
      <c r="H1086" s="38"/>
      <c r="I1086" s="32"/>
    </row>
    <row r="1087" spans="1:9" x14ac:dyDescent="0.25">
      <c r="A1087" s="1"/>
      <c r="B1087" s="9"/>
      <c r="C1087" s="37"/>
      <c r="D1087" s="27"/>
      <c r="E1087" s="151"/>
      <c r="F1087" s="28"/>
      <c r="G1087" s="29"/>
      <c r="H1087" s="38"/>
      <c r="I1087" s="32"/>
    </row>
    <row r="1088" spans="1:9" x14ac:dyDescent="0.25">
      <c r="A1088" s="1"/>
      <c r="B1088" s="9"/>
      <c r="C1088" s="37"/>
      <c r="D1088" s="27"/>
      <c r="E1088" s="151"/>
      <c r="F1088" s="28"/>
      <c r="G1088" s="29"/>
      <c r="H1088" s="38"/>
      <c r="I1088" s="32"/>
    </row>
    <row r="1089" spans="1:9" x14ac:dyDescent="0.25">
      <c r="A1089" s="1"/>
      <c r="B1089" s="9"/>
      <c r="C1089" s="37"/>
      <c r="D1089" s="27"/>
      <c r="E1089" s="151"/>
      <c r="F1089" s="28"/>
      <c r="G1089" s="29"/>
      <c r="H1089" s="38"/>
      <c r="I1089" s="32"/>
    </row>
    <row r="1090" spans="1:9" x14ac:dyDescent="0.25">
      <c r="A1090" s="1"/>
      <c r="B1090" s="9"/>
      <c r="C1090" s="37"/>
      <c r="D1090" s="27"/>
      <c r="E1090" s="151"/>
      <c r="F1090" s="28"/>
      <c r="G1090" s="29"/>
      <c r="H1090" s="38"/>
      <c r="I1090" s="32"/>
    </row>
    <row r="1091" spans="1:9" x14ac:dyDescent="0.25">
      <c r="A1091" s="1"/>
      <c r="B1091" s="9"/>
      <c r="C1091" s="37"/>
      <c r="D1091" s="27"/>
      <c r="E1091" s="151"/>
      <c r="F1091" s="28"/>
      <c r="G1091" s="29"/>
      <c r="H1091" s="38"/>
      <c r="I1091" s="32"/>
    </row>
    <row r="1092" spans="1:9" x14ac:dyDescent="0.25">
      <c r="A1092" s="1"/>
      <c r="B1092" s="9"/>
      <c r="C1092" s="37"/>
      <c r="D1092" s="27"/>
      <c r="E1092" s="151"/>
      <c r="F1092" s="28"/>
      <c r="G1092" s="29"/>
      <c r="H1092" s="38"/>
      <c r="I1092" s="32"/>
    </row>
    <row r="1093" spans="1:9" x14ac:dyDescent="0.25">
      <c r="A1093" s="1"/>
      <c r="B1093" s="9"/>
      <c r="C1093" s="37"/>
      <c r="D1093" s="27"/>
      <c r="E1093" s="151"/>
      <c r="F1093" s="28"/>
      <c r="G1093" s="29"/>
      <c r="H1093" s="38"/>
      <c r="I1093" s="32"/>
    </row>
    <row r="1094" spans="1:9" x14ac:dyDescent="0.25">
      <c r="A1094" s="1"/>
      <c r="B1094" s="9"/>
      <c r="C1094" s="37"/>
      <c r="D1094" s="27"/>
      <c r="E1094" s="151"/>
      <c r="F1094" s="28"/>
      <c r="G1094" s="29"/>
      <c r="H1094" s="38"/>
      <c r="I1094" s="32"/>
    </row>
    <row r="1095" spans="1:9" x14ac:dyDescent="0.25">
      <c r="A1095" s="1"/>
      <c r="B1095" s="9"/>
      <c r="C1095" s="37"/>
      <c r="D1095" s="27"/>
      <c r="E1095" s="151"/>
      <c r="F1095" s="28"/>
      <c r="G1095" s="29"/>
      <c r="H1095" s="38"/>
      <c r="I1095" s="32"/>
    </row>
    <row r="1096" spans="1:9" x14ac:dyDescent="0.25">
      <c r="A1096" s="1"/>
      <c r="B1096" s="9"/>
      <c r="C1096" s="37"/>
      <c r="D1096" s="27"/>
      <c r="E1096" s="151"/>
      <c r="F1096" s="28"/>
      <c r="G1096" s="29"/>
      <c r="H1096" s="38"/>
      <c r="I1096" s="32"/>
    </row>
    <row r="1097" spans="1:9" x14ac:dyDescent="0.25">
      <c r="A1097" s="1"/>
      <c r="B1097" s="9"/>
      <c r="C1097" s="37"/>
      <c r="D1097" s="27"/>
      <c r="E1097" s="151"/>
      <c r="F1097" s="28"/>
      <c r="G1097" s="29"/>
      <c r="H1097" s="38"/>
      <c r="I1097" s="32"/>
    </row>
    <row r="1098" spans="1:9" x14ac:dyDescent="0.25">
      <c r="A1098" s="1"/>
      <c r="B1098" s="9"/>
      <c r="C1098" s="37"/>
      <c r="D1098" s="27"/>
      <c r="E1098" s="151"/>
      <c r="F1098" s="28"/>
      <c r="G1098" s="29"/>
      <c r="H1098" s="38"/>
      <c r="I1098" s="32"/>
    </row>
    <row r="1099" spans="1:9" x14ac:dyDescent="0.25">
      <c r="A1099" s="1"/>
      <c r="B1099" s="9"/>
      <c r="C1099" s="37"/>
      <c r="D1099" s="27"/>
      <c r="E1099" s="151"/>
      <c r="F1099" s="28"/>
      <c r="G1099" s="29"/>
      <c r="H1099" s="38"/>
      <c r="I1099" s="32"/>
    </row>
    <row r="1100" spans="1:9" x14ac:dyDescent="0.25">
      <c r="A1100" s="1"/>
      <c r="B1100" s="9"/>
      <c r="C1100" s="37"/>
      <c r="D1100" s="27"/>
      <c r="E1100" s="151"/>
      <c r="F1100" s="28"/>
      <c r="G1100" s="29"/>
      <c r="H1100" s="38"/>
      <c r="I1100" s="32"/>
    </row>
    <row r="1101" spans="1:9" x14ac:dyDescent="0.25">
      <c r="A1101" s="1"/>
      <c r="B1101" s="9"/>
      <c r="C1101" s="37"/>
      <c r="D1101" s="27"/>
      <c r="E1101" s="151"/>
      <c r="F1101" s="28"/>
      <c r="G1101" s="29"/>
      <c r="H1101" s="38"/>
      <c r="I1101" s="32"/>
    </row>
    <row r="1102" spans="1:9" x14ac:dyDescent="0.25">
      <c r="A1102" s="1"/>
      <c r="B1102" s="9"/>
      <c r="C1102" s="37"/>
      <c r="D1102" s="27"/>
      <c r="E1102" s="151"/>
      <c r="F1102" s="28"/>
      <c r="G1102" s="29"/>
      <c r="H1102" s="38"/>
      <c r="I1102" s="32"/>
    </row>
    <row r="1103" spans="1:9" x14ac:dyDescent="0.25">
      <c r="A1103" s="1"/>
      <c r="B1103" s="9"/>
      <c r="C1103" s="37"/>
      <c r="D1103" s="27"/>
      <c r="E1103" s="151"/>
      <c r="F1103" s="28"/>
      <c r="G1103" s="29"/>
      <c r="H1103" s="38"/>
      <c r="I1103" s="32"/>
    </row>
    <row r="1104" spans="1:9" x14ac:dyDescent="0.25">
      <c r="A1104" s="1"/>
      <c r="B1104" s="9"/>
      <c r="C1104" s="37"/>
      <c r="D1104" s="27"/>
      <c r="E1104" s="151"/>
      <c r="F1104" s="28"/>
      <c r="G1104" s="29"/>
      <c r="H1104" s="38"/>
      <c r="I1104" s="32"/>
    </row>
    <row r="1105" spans="1:9" x14ac:dyDescent="0.25">
      <c r="A1105" s="1"/>
      <c r="B1105" s="9"/>
      <c r="C1105" s="37"/>
      <c r="D1105" s="27"/>
      <c r="E1105" s="151"/>
      <c r="F1105" s="28"/>
      <c r="G1105" s="29"/>
      <c r="H1105" s="38"/>
      <c r="I1105" s="32"/>
    </row>
    <row r="1106" spans="1:9" x14ac:dyDescent="0.25">
      <c r="A1106" s="1"/>
      <c r="B1106" s="9"/>
      <c r="C1106" s="37"/>
      <c r="D1106" s="27"/>
      <c r="E1106" s="151"/>
      <c r="F1106" s="28"/>
      <c r="G1106" s="29"/>
      <c r="H1106" s="38"/>
      <c r="I1106" s="32"/>
    </row>
    <row r="1107" spans="1:9" x14ac:dyDescent="0.25">
      <c r="A1107" s="1"/>
      <c r="B1107" s="9"/>
      <c r="C1107" s="37"/>
      <c r="D1107" s="27"/>
      <c r="E1107" s="151"/>
      <c r="F1107" s="28"/>
      <c r="G1107" s="29"/>
      <c r="H1107" s="38"/>
      <c r="I1107" s="32"/>
    </row>
    <row r="1108" spans="1:9" x14ac:dyDescent="0.25">
      <c r="A1108" s="1"/>
      <c r="B1108" s="9"/>
      <c r="C1108" s="37"/>
      <c r="D1108" s="27"/>
      <c r="E1108" s="151"/>
      <c r="F1108" s="28"/>
      <c r="G1108" s="29"/>
      <c r="H1108" s="38"/>
      <c r="I1108" s="32"/>
    </row>
    <row r="1109" spans="1:9" x14ac:dyDescent="0.25">
      <c r="A1109" s="1"/>
      <c r="B1109" s="9"/>
      <c r="C1109" s="37"/>
      <c r="D1109" s="27"/>
      <c r="E1109" s="151"/>
      <c r="F1109" s="28"/>
      <c r="G1109" s="29"/>
      <c r="H1109" s="38"/>
      <c r="I1109" s="32"/>
    </row>
    <row r="1110" spans="1:9" x14ac:dyDescent="0.25">
      <c r="A1110" s="1"/>
      <c r="B1110" s="9"/>
      <c r="C1110" s="37"/>
      <c r="D1110" s="27"/>
      <c r="E1110" s="151"/>
      <c r="F1110" s="28"/>
      <c r="G1110" s="29"/>
      <c r="H1110" s="38"/>
      <c r="I1110" s="32"/>
    </row>
    <row r="1111" spans="1:9" x14ac:dyDescent="0.25">
      <c r="A1111" s="1"/>
      <c r="B1111" s="9"/>
      <c r="C1111" s="37"/>
      <c r="D1111" s="27"/>
      <c r="E1111" s="151"/>
      <c r="F1111" s="28"/>
      <c r="G1111" s="29"/>
      <c r="H1111" s="38"/>
      <c r="I1111" s="32"/>
    </row>
    <row r="1112" spans="1:9" x14ac:dyDescent="0.25">
      <c r="A1112" s="1"/>
      <c r="B1112" s="9"/>
      <c r="C1112" s="37"/>
      <c r="D1112" s="27"/>
      <c r="E1112" s="151"/>
      <c r="F1112" s="28"/>
      <c r="G1112" s="29"/>
      <c r="H1112" s="38"/>
      <c r="I1112" s="32"/>
    </row>
    <row r="1113" spans="1:9" x14ac:dyDescent="0.25">
      <c r="A1113" s="1"/>
      <c r="B1113" s="9"/>
      <c r="C1113" s="37"/>
      <c r="D1113" s="27"/>
      <c r="E1113" s="151"/>
      <c r="F1113" s="28"/>
      <c r="G1113" s="29"/>
      <c r="H1113" s="38"/>
      <c r="I1113" s="32"/>
    </row>
    <row r="1114" spans="1:9" x14ac:dyDescent="0.25">
      <c r="A1114" s="1"/>
      <c r="B1114" s="9"/>
      <c r="C1114" s="37"/>
      <c r="D1114" s="27"/>
      <c r="E1114" s="151"/>
      <c r="F1114" s="28"/>
      <c r="G1114" s="29"/>
      <c r="H1114" s="38"/>
      <c r="I1114" s="32"/>
    </row>
    <row r="1115" spans="1:9" x14ac:dyDescent="0.25">
      <c r="A1115" s="1"/>
      <c r="B1115" s="9"/>
      <c r="C1115" s="37"/>
      <c r="D1115" s="27"/>
      <c r="E1115" s="151"/>
      <c r="F1115" s="28"/>
      <c r="G1115" s="29"/>
      <c r="H1115" s="38"/>
      <c r="I1115" s="32"/>
    </row>
    <row r="1116" spans="1:9" x14ac:dyDescent="0.25">
      <c r="A1116" s="1"/>
      <c r="B1116" s="9"/>
      <c r="C1116" s="37"/>
      <c r="D1116" s="27"/>
      <c r="E1116" s="151"/>
      <c r="F1116" s="28"/>
      <c r="G1116" s="29"/>
      <c r="H1116" s="38"/>
      <c r="I1116" s="32"/>
    </row>
    <row r="1117" spans="1:9" x14ac:dyDescent="0.25">
      <c r="A1117" s="1"/>
      <c r="B1117" s="9"/>
      <c r="C1117" s="37"/>
      <c r="D1117" s="27"/>
      <c r="E1117" s="151"/>
      <c r="F1117" s="28"/>
      <c r="G1117" s="29"/>
      <c r="H1117" s="38"/>
      <c r="I1117" s="32"/>
    </row>
    <row r="1118" spans="1:9" x14ac:dyDescent="0.25">
      <c r="A1118" s="1"/>
      <c r="B1118" s="9"/>
      <c r="C1118" s="37"/>
      <c r="D1118" s="27"/>
      <c r="E1118" s="151"/>
      <c r="F1118" s="28"/>
      <c r="G1118" s="29"/>
      <c r="H1118" s="38"/>
      <c r="I1118" s="32"/>
    </row>
    <row r="1119" spans="1:9" x14ac:dyDescent="0.25">
      <c r="A1119" s="1"/>
      <c r="B1119" s="9"/>
      <c r="C1119" s="37"/>
      <c r="D1119" s="27"/>
      <c r="E1119" s="151"/>
      <c r="F1119" s="28"/>
      <c r="G1119" s="29"/>
      <c r="H1119" s="38"/>
      <c r="I1119" s="32"/>
    </row>
    <row r="1120" spans="1:9" x14ac:dyDescent="0.25">
      <c r="A1120" s="1"/>
      <c r="B1120" s="9"/>
      <c r="C1120" s="37"/>
      <c r="D1120" s="27"/>
      <c r="E1120" s="151"/>
      <c r="F1120" s="28"/>
      <c r="G1120" s="29"/>
      <c r="H1120" s="38"/>
      <c r="I1120" s="32"/>
    </row>
    <row r="1121" spans="1:9" x14ac:dyDescent="0.25">
      <c r="A1121" s="1"/>
      <c r="B1121" s="9"/>
      <c r="C1121" s="37"/>
      <c r="D1121" s="27"/>
      <c r="E1121" s="151"/>
      <c r="F1121" s="28"/>
      <c r="G1121" s="29"/>
      <c r="H1121" s="38"/>
      <c r="I1121" s="32"/>
    </row>
    <row r="1122" spans="1:9" x14ac:dyDescent="0.25">
      <c r="A1122" s="1"/>
      <c r="B1122" s="9"/>
      <c r="C1122" s="37"/>
      <c r="D1122" s="27"/>
      <c r="E1122" s="151"/>
      <c r="F1122" s="28"/>
      <c r="G1122" s="29"/>
      <c r="H1122" s="38"/>
      <c r="I1122" s="32"/>
    </row>
    <row r="1123" spans="1:9" x14ac:dyDescent="0.25">
      <c r="A1123" s="1"/>
      <c r="B1123" s="9"/>
      <c r="C1123" s="37"/>
      <c r="D1123" s="27"/>
      <c r="E1123" s="151"/>
      <c r="F1123" s="28"/>
      <c r="G1123" s="29"/>
      <c r="H1123" s="38"/>
      <c r="I1123" s="32"/>
    </row>
    <row r="1124" spans="1:9" x14ac:dyDescent="0.25">
      <c r="A1124" s="1"/>
      <c r="B1124" s="9"/>
      <c r="C1124" s="37"/>
      <c r="D1124" s="27"/>
      <c r="E1124" s="151"/>
      <c r="F1124" s="28"/>
      <c r="G1124" s="29"/>
      <c r="H1124" s="38"/>
      <c r="I1124" s="32"/>
    </row>
    <row r="1125" spans="1:9" x14ac:dyDescent="0.25">
      <c r="A1125" s="1"/>
      <c r="B1125" s="9"/>
      <c r="C1125" s="37"/>
      <c r="D1125" s="27"/>
      <c r="E1125" s="151"/>
      <c r="F1125" s="28"/>
      <c r="G1125" s="29"/>
      <c r="H1125" s="38"/>
      <c r="I1125" s="32"/>
    </row>
    <row r="1126" spans="1:9" x14ac:dyDescent="0.25">
      <c r="A1126" s="1"/>
      <c r="B1126" s="9"/>
      <c r="C1126" s="37"/>
      <c r="D1126" s="27"/>
      <c r="E1126" s="151"/>
      <c r="F1126" s="28"/>
      <c r="G1126" s="29"/>
      <c r="H1126" s="38"/>
      <c r="I1126" s="32"/>
    </row>
    <row r="1127" spans="1:9" x14ac:dyDescent="0.25">
      <c r="A1127" s="1"/>
      <c r="B1127" s="9"/>
      <c r="C1127" s="37"/>
      <c r="D1127" s="27"/>
      <c r="E1127" s="151"/>
      <c r="F1127" s="28"/>
      <c r="G1127" s="29"/>
      <c r="H1127" s="38"/>
      <c r="I1127" s="32"/>
    </row>
    <row r="1128" spans="1:9" x14ac:dyDescent="0.25">
      <c r="A1128" s="1"/>
      <c r="B1128" s="9"/>
      <c r="C1128" s="37"/>
      <c r="D1128" s="27"/>
      <c r="E1128" s="151"/>
      <c r="F1128" s="28"/>
      <c r="G1128" s="29"/>
      <c r="H1128" s="38"/>
      <c r="I1128" s="32"/>
    </row>
    <row r="1129" spans="1:9" x14ac:dyDescent="0.25">
      <c r="A1129" s="1"/>
      <c r="B1129" s="9"/>
      <c r="C1129" s="37"/>
      <c r="D1129" s="27"/>
      <c r="E1129" s="151"/>
      <c r="F1129" s="28"/>
      <c r="G1129" s="29"/>
      <c r="H1129" s="38"/>
      <c r="I1129" s="32"/>
    </row>
    <row r="1130" spans="1:9" x14ac:dyDescent="0.25">
      <c r="A1130" s="1"/>
      <c r="B1130" s="9"/>
      <c r="C1130" s="37"/>
      <c r="D1130" s="27"/>
      <c r="E1130" s="151"/>
      <c r="F1130" s="28"/>
      <c r="G1130" s="29"/>
      <c r="H1130" s="38"/>
      <c r="I1130" s="32"/>
    </row>
    <row r="1131" spans="1:9" x14ac:dyDescent="0.25">
      <c r="A1131" s="1"/>
      <c r="B1131" s="9"/>
      <c r="C1131" s="37"/>
      <c r="D1131" s="27"/>
      <c r="E1131" s="151"/>
      <c r="F1131" s="28"/>
      <c r="G1131" s="29"/>
      <c r="H1131" s="38"/>
      <c r="I1131" s="32"/>
    </row>
    <row r="1132" spans="1:9" x14ac:dyDescent="0.25">
      <c r="A1132" s="1"/>
      <c r="B1132" s="9"/>
      <c r="C1132" s="37"/>
      <c r="D1132" s="27"/>
      <c r="E1132" s="151"/>
      <c r="F1132" s="28"/>
      <c r="G1132" s="29"/>
      <c r="H1132" s="38"/>
      <c r="I1132" s="32"/>
    </row>
    <row r="1133" spans="1:9" x14ac:dyDescent="0.25">
      <c r="A1133" s="1"/>
      <c r="B1133" s="9"/>
      <c r="C1133" s="37"/>
      <c r="D1133" s="27"/>
      <c r="E1133" s="151"/>
      <c r="F1133" s="28"/>
      <c r="G1133" s="29"/>
      <c r="H1133" s="38"/>
      <c r="I1133" s="32"/>
    </row>
    <row r="1134" spans="1:9" x14ac:dyDescent="0.25">
      <c r="A1134" s="1"/>
      <c r="B1134" s="9"/>
      <c r="C1134" s="37"/>
      <c r="D1134" s="27"/>
      <c r="E1134" s="151"/>
      <c r="F1134" s="28"/>
      <c r="G1134" s="29"/>
      <c r="H1134" s="38"/>
      <c r="I1134" s="32"/>
    </row>
    <row r="1135" spans="1:9" x14ac:dyDescent="0.25">
      <c r="A1135" s="1"/>
      <c r="B1135" s="9"/>
      <c r="C1135" s="37"/>
      <c r="D1135" s="27"/>
      <c r="E1135" s="151"/>
      <c r="F1135" s="28"/>
      <c r="G1135" s="29"/>
      <c r="H1135" s="38"/>
      <c r="I1135" s="32"/>
    </row>
    <row r="1136" spans="1:9" x14ac:dyDescent="0.25">
      <c r="A1136" s="1"/>
      <c r="B1136" s="9"/>
      <c r="C1136" s="37"/>
      <c r="D1136" s="27"/>
      <c r="E1136" s="151"/>
      <c r="F1136" s="28"/>
      <c r="G1136" s="29"/>
      <c r="H1136" s="38"/>
      <c r="I1136" s="32"/>
    </row>
    <row r="1137" spans="1:9" x14ac:dyDescent="0.25">
      <c r="A1137" s="1"/>
      <c r="B1137" s="9"/>
      <c r="C1137" s="37"/>
      <c r="D1137" s="27"/>
      <c r="E1137" s="151"/>
      <c r="F1137" s="28"/>
      <c r="G1137" s="29"/>
      <c r="H1137" s="38"/>
      <c r="I1137" s="32"/>
    </row>
    <row r="1138" spans="1:9" x14ac:dyDescent="0.25">
      <c r="A1138" s="1"/>
      <c r="B1138" s="9"/>
      <c r="C1138" s="37"/>
      <c r="D1138" s="27"/>
      <c r="E1138" s="151"/>
      <c r="F1138" s="28"/>
      <c r="G1138" s="29"/>
      <c r="H1138" s="38"/>
      <c r="I1138" s="32"/>
    </row>
    <row r="1139" spans="1:9" x14ac:dyDescent="0.25">
      <c r="A1139" s="1"/>
      <c r="B1139" s="9"/>
      <c r="C1139" s="37"/>
      <c r="D1139" s="27"/>
      <c r="E1139" s="151"/>
      <c r="F1139" s="28"/>
      <c r="G1139" s="29"/>
      <c r="H1139" s="38"/>
      <c r="I1139" s="32"/>
    </row>
    <row r="1140" spans="1:9" x14ac:dyDescent="0.25">
      <c r="A1140" s="1"/>
      <c r="B1140" s="9"/>
      <c r="C1140" s="37"/>
      <c r="D1140" s="27"/>
      <c r="E1140" s="151"/>
      <c r="F1140" s="28"/>
      <c r="G1140" s="29"/>
      <c r="H1140" s="38"/>
      <c r="I1140" s="32"/>
    </row>
    <row r="1141" spans="1:9" x14ac:dyDescent="0.25">
      <c r="A1141" s="1"/>
      <c r="B1141" s="9"/>
      <c r="C1141" s="37"/>
      <c r="D1141" s="27"/>
      <c r="E1141" s="151"/>
      <c r="F1141" s="28"/>
      <c r="G1141" s="29"/>
      <c r="H1141" s="38"/>
      <c r="I1141" s="32"/>
    </row>
    <row r="1142" spans="1:9" x14ac:dyDescent="0.25">
      <c r="A1142" s="1"/>
      <c r="B1142" s="9"/>
      <c r="C1142" s="37"/>
      <c r="D1142" s="27"/>
      <c r="E1142" s="151"/>
      <c r="F1142" s="28"/>
      <c r="G1142" s="29"/>
      <c r="H1142" s="38"/>
      <c r="I1142" s="32"/>
    </row>
    <row r="1143" spans="1:9" x14ac:dyDescent="0.25">
      <c r="A1143" s="1"/>
      <c r="B1143" s="9"/>
      <c r="C1143" s="37"/>
      <c r="D1143" s="27"/>
      <c r="E1143" s="151"/>
      <c r="F1143" s="28"/>
      <c r="G1143" s="29"/>
      <c r="H1143" s="38"/>
      <c r="I1143" s="32"/>
    </row>
    <row r="1144" spans="1:9" x14ac:dyDescent="0.25">
      <c r="A1144" s="1"/>
      <c r="B1144" s="9"/>
      <c r="C1144" s="37"/>
      <c r="D1144" s="27"/>
      <c r="E1144" s="151"/>
      <c r="F1144" s="28"/>
      <c r="G1144" s="29"/>
      <c r="H1144" s="38"/>
      <c r="I1144" s="32"/>
    </row>
    <row r="1145" spans="1:9" x14ac:dyDescent="0.25">
      <c r="A1145" s="1"/>
      <c r="B1145" s="9"/>
      <c r="C1145" s="37"/>
      <c r="D1145" s="27"/>
      <c r="E1145" s="151"/>
      <c r="F1145" s="28"/>
      <c r="G1145" s="29"/>
      <c r="H1145" s="38"/>
      <c r="I1145" s="32"/>
    </row>
    <row r="1146" spans="1:9" x14ac:dyDescent="0.25">
      <c r="A1146" s="1"/>
      <c r="B1146" s="9"/>
      <c r="C1146" s="37"/>
      <c r="D1146" s="27"/>
      <c r="E1146" s="151"/>
      <c r="F1146" s="28"/>
      <c r="G1146" s="29"/>
      <c r="H1146" s="38"/>
      <c r="I1146" s="32"/>
    </row>
    <row r="1147" spans="1:9" x14ac:dyDescent="0.25">
      <c r="A1147" s="1"/>
      <c r="B1147" s="9"/>
      <c r="C1147" s="37"/>
      <c r="D1147" s="27"/>
      <c r="E1147" s="151"/>
      <c r="F1147" s="28"/>
      <c r="G1147" s="29"/>
      <c r="H1147" s="38"/>
      <c r="I1147" s="32"/>
    </row>
    <row r="1148" spans="1:9" x14ac:dyDescent="0.25">
      <c r="A1148" s="1"/>
      <c r="B1148" s="9"/>
      <c r="C1148" s="37"/>
      <c r="D1148" s="27"/>
      <c r="E1148" s="151"/>
      <c r="F1148" s="28"/>
      <c r="G1148" s="29"/>
      <c r="H1148" s="38"/>
      <c r="I1148" s="32"/>
    </row>
    <row r="1149" spans="1:9" x14ac:dyDescent="0.25">
      <c r="A1149" s="1"/>
      <c r="B1149" s="9"/>
      <c r="C1149" s="37"/>
      <c r="D1149" s="27"/>
      <c r="E1149" s="151"/>
      <c r="F1149" s="28"/>
      <c r="G1149" s="29"/>
      <c r="H1149" s="38"/>
      <c r="I1149" s="32"/>
    </row>
    <row r="1150" spans="1:9" x14ac:dyDescent="0.25">
      <c r="A1150" s="1"/>
      <c r="B1150" s="9"/>
      <c r="C1150" s="37"/>
      <c r="D1150" s="27"/>
      <c r="E1150" s="151"/>
      <c r="F1150" s="28"/>
      <c r="G1150" s="29"/>
      <c r="H1150" s="38"/>
      <c r="I1150" s="32"/>
    </row>
    <row r="1151" spans="1:9" x14ac:dyDescent="0.25">
      <c r="A1151" s="1"/>
      <c r="B1151" s="9"/>
      <c r="C1151" s="37"/>
      <c r="D1151" s="27"/>
      <c r="E1151" s="151"/>
      <c r="F1151" s="28"/>
      <c r="G1151" s="29"/>
      <c r="H1151" s="38"/>
      <c r="I1151" s="32"/>
    </row>
    <row r="1152" spans="1:9" x14ac:dyDescent="0.25">
      <c r="A1152" s="1"/>
      <c r="B1152" s="9"/>
      <c r="C1152" s="37"/>
      <c r="D1152" s="27"/>
      <c r="E1152" s="151"/>
      <c r="F1152" s="28"/>
      <c r="G1152" s="29"/>
      <c r="H1152" s="38"/>
      <c r="I1152" s="32"/>
    </row>
    <row r="1153" spans="1:9" x14ac:dyDescent="0.25">
      <c r="A1153" s="1"/>
      <c r="B1153" s="9"/>
      <c r="C1153" s="37"/>
      <c r="D1153" s="27"/>
      <c r="E1153" s="151"/>
      <c r="F1153" s="28"/>
      <c r="G1153" s="29"/>
      <c r="H1153" s="38"/>
      <c r="I1153" s="32"/>
    </row>
    <row r="1154" spans="1:9" x14ac:dyDescent="0.25">
      <c r="A1154" s="1"/>
      <c r="B1154" s="9"/>
      <c r="C1154" s="37"/>
      <c r="D1154" s="27"/>
      <c r="E1154" s="151"/>
      <c r="F1154" s="28"/>
      <c r="G1154" s="29"/>
      <c r="H1154" s="38"/>
      <c r="I1154" s="32"/>
    </row>
    <row r="1155" spans="1:9" x14ac:dyDescent="0.25">
      <c r="A1155" s="1"/>
      <c r="B1155" s="9"/>
      <c r="C1155" s="37"/>
      <c r="D1155" s="27"/>
      <c r="E1155" s="151"/>
      <c r="F1155" s="28"/>
      <c r="G1155" s="29"/>
      <c r="H1155" s="38"/>
      <c r="I1155" s="32"/>
    </row>
    <row r="1156" spans="1:9" x14ac:dyDescent="0.25">
      <c r="A1156" s="1"/>
      <c r="B1156" s="9"/>
      <c r="C1156" s="37"/>
      <c r="D1156" s="27"/>
      <c r="E1156" s="151"/>
      <c r="F1156" s="28"/>
      <c r="G1156" s="29"/>
      <c r="H1156" s="38"/>
      <c r="I1156" s="32"/>
    </row>
    <row r="1157" spans="1:9" x14ac:dyDescent="0.25">
      <c r="A1157" s="1"/>
      <c r="B1157" s="9"/>
      <c r="C1157" s="37"/>
      <c r="D1157" s="27"/>
      <c r="E1157" s="151"/>
      <c r="F1157" s="28"/>
      <c r="G1157" s="29"/>
      <c r="H1157" s="38"/>
      <c r="I1157" s="32"/>
    </row>
    <row r="1158" spans="1:9" x14ac:dyDescent="0.25">
      <c r="A1158" s="1"/>
      <c r="B1158" s="9"/>
      <c r="C1158" s="37"/>
      <c r="D1158" s="27"/>
      <c r="E1158" s="151"/>
      <c r="F1158" s="28"/>
      <c r="G1158" s="29"/>
      <c r="H1158" s="38"/>
      <c r="I1158" s="32"/>
    </row>
    <row r="1159" spans="1:9" x14ac:dyDescent="0.25">
      <c r="A1159" s="1"/>
      <c r="B1159" s="9"/>
      <c r="C1159" s="37"/>
      <c r="D1159" s="27"/>
      <c r="E1159" s="151"/>
      <c r="F1159" s="28"/>
      <c r="G1159" s="29"/>
      <c r="H1159" s="38"/>
      <c r="I1159" s="32"/>
    </row>
    <row r="1160" spans="1:9" x14ac:dyDescent="0.25">
      <c r="A1160" s="1"/>
      <c r="B1160" s="9"/>
      <c r="C1160" s="37"/>
      <c r="D1160" s="27"/>
      <c r="E1160" s="151"/>
      <c r="F1160" s="28"/>
      <c r="G1160" s="29"/>
      <c r="H1160" s="38"/>
      <c r="I1160" s="32"/>
    </row>
    <row r="1161" spans="1:9" x14ac:dyDescent="0.25">
      <c r="A1161" s="1"/>
      <c r="B1161" s="9"/>
      <c r="C1161" s="37"/>
      <c r="D1161" s="27"/>
      <c r="E1161" s="151"/>
      <c r="F1161" s="28"/>
      <c r="G1161" s="29"/>
      <c r="H1161" s="38"/>
      <c r="I1161" s="32"/>
    </row>
    <row r="1162" spans="1:9" x14ac:dyDescent="0.25">
      <c r="A1162" s="1"/>
      <c r="B1162" s="9"/>
      <c r="C1162" s="37"/>
      <c r="D1162" s="27"/>
      <c r="E1162" s="151"/>
      <c r="F1162" s="28"/>
      <c r="G1162" s="29"/>
      <c r="H1162" s="38"/>
      <c r="I1162" s="32"/>
    </row>
    <row r="1163" spans="1:9" x14ac:dyDescent="0.25">
      <c r="A1163" s="1"/>
      <c r="B1163" s="9"/>
      <c r="C1163" s="37"/>
      <c r="D1163" s="27"/>
      <c r="E1163" s="151"/>
      <c r="F1163" s="28"/>
      <c r="G1163" s="29"/>
      <c r="H1163" s="38"/>
      <c r="I1163" s="32"/>
    </row>
    <row r="1164" spans="1:9" x14ac:dyDescent="0.25">
      <c r="A1164" s="1"/>
      <c r="B1164" s="9"/>
      <c r="C1164" s="37"/>
      <c r="D1164" s="27"/>
      <c r="E1164" s="151"/>
      <c r="F1164" s="28"/>
      <c r="G1164" s="29"/>
      <c r="H1164" s="38"/>
      <c r="I1164" s="32"/>
    </row>
    <row r="1165" spans="1:9" x14ac:dyDescent="0.25">
      <c r="A1165" s="1"/>
      <c r="B1165" s="9"/>
      <c r="C1165" s="37"/>
      <c r="D1165" s="27"/>
      <c r="E1165" s="151"/>
      <c r="F1165" s="28"/>
      <c r="G1165" s="29"/>
      <c r="H1165" s="38"/>
      <c r="I1165" s="32"/>
    </row>
    <row r="1166" spans="1:9" x14ac:dyDescent="0.25">
      <c r="A1166" s="1"/>
      <c r="B1166" s="9"/>
      <c r="C1166" s="37"/>
      <c r="D1166" s="27"/>
      <c r="E1166" s="151"/>
      <c r="F1166" s="28"/>
      <c r="G1166" s="29"/>
      <c r="H1166" s="38"/>
      <c r="I1166" s="32"/>
    </row>
    <row r="1167" spans="1:9" x14ac:dyDescent="0.25">
      <c r="A1167" s="1"/>
      <c r="B1167" s="9"/>
      <c r="C1167" s="37"/>
      <c r="D1167" s="27"/>
      <c r="E1167" s="151"/>
      <c r="F1167" s="28"/>
      <c r="G1167" s="29"/>
      <c r="H1167" s="38"/>
      <c r="I1167" s="32"/>
    </row>
    <row r="1168" spans="1:9" x14ac:dyDescent="0.25">
      <c r="A1168" s="1"/>
      <c r="B1168" s="9"/>
      <c r="C1168" s="37"/>
      <c r="D1168" s="27"/>
      <c r="E1168" s="151"/>
      <c r="F1168" s="28"/>
      <c r="G1168" s="29"/>
      <c r="H1168" s="38"/>
      <c r="I1168" s="32"/>
    </row>
    <row r="1169" spans="1:9" x14ac:dyDescent="0.25">
      <c r="A1169" s="1"/>
      <c r="B1169" s="9"/>
      <c r="C1169" s="37"/>
      <c r="D1169" s="27"/>
      <c r="E1169" s="151"/>
      <c r="F1169" s="28"/>
      <c r="G1169" s="29"/>
      <c r="H1169" s="38"/>
      <c r="I1169" s="32"/>
    </row>
    <row r="1170" spans="1:9" x14ac:dyDescent="0.25">
      <c r="A1170" s="1"/>
      <c r="B1170" s="9"/>
      <c r="C1170" s="37"/>
      <c r="D1170" s="27"/>
      <c r="E1170" s="151"/>
      <c r="F1170" s="28"/>
      <c r="G1170" s="29"/>
      <c r="H1170" s="38"/>
      <c r="I1170" s="32"/>
    </row>
    <row r="1171" spans="1:9" x14ac:dyDescent="0.25">
      <c r="A1171" s="1"/>
      <c r="B1171" s="9"/>
      <c r="C1171" s="37"/>
      <c r="D1171" s="27"/>
      <c r="E1171" s="151"/>
      <c r="F1171" s="28"/>
      <c r="G1171" s="29"/>
      <c r="H1171" s="38"/>
      <c r="I1171" s="32"/>
    </row>
    <row r="1172" spans="1:9" x14ac:dyDescent="0.25">
      <c r="A1172" s="1"/>
      <c r="B1172" s="9"/>
      <c r="C1172" s="37"/>
      <c r="D1172" s="27"/>
      <c r="E1172" s="151"/>
      <c r="F1172" s="28"/>
      <c r="G1172" s="29"/>
      <c r="H1172" s="38"/>
      <c r="I1172" s="32"/>
    </row>
    <row r="1173" spans="1:9" x14ac:dyDescent="0.25">
      <c r="A1173" s="1"/>
      <c r="B1173" s="9"/>
      <c r="C1173" s="37"/>
      <c r="D1173" s="27"/>
      <c r="E1173" s="151"/>
      <c r="F1173" s="28"/>
      <c r="G1173" s="29"/>
      <c r="H1173" s="38"/>
      <c r="I1173" s="32"/>
    </row>
    <row r="1174" spans="1:9" x14ac:dyDescent="0.25">
      <c r="A1174" s="1"/>
      <c r="B1174" s="9"/>
      <c r="C1174" s="37"/>
      <c r="D1174" s="27"/>
      <c r="E1174" s="151"/>
      <c r="F1174" s="28"/>
      <c r="G1174" s="29"/>
      <c r="H1174" s="38"/>
      <c r="I1174" s="32"/>
    </row>
    <row r="1175" spans="1:9" x14ac:dyDescent="0.25">
      <c r="A1175" s="1"/>
      <c r="B1175" s="9"/>
      <c r="C1175" s="37"/>
      <c r="D1175" s="27"/>
      <c r="E1175" s="151"/>
      <c r="F1175" s="28"/>
      <c r="G1175" s="29"/>
      <c r="H1175" s="38"/>
      <c r="I1175" s="32"/>
    </row>
    <row r="1176" spans="1:9" x14ac:dyDescent="0.25">
      <c r="A1176" s="1"/>
      <c r="B1176" s="9"/>
      <c r="C1176" s="37"/>
      <c r="D1176" s="27"/>
      <c r="E1176" s="30"/>
      <c r="F1176" s="28"/>
      <c r="G1176" s="29"/>
      <c r="H1176" s="38"/>
      <c r="I1176" s="32"/>
    </row>
    <row r="1177" spans="1:9" x14ac:dyDescent="0.25">
      <c r="A1177" s="1"/>
      <c r="B1177" s="9"/>
      <c r="C1177" s="37"/>
      <c r="D1177" s="27"/>
      <c r="E1177" s="30"/>
      <c r="F1177" s="28"/>
      <c r="G1177" s="29"/>
      <c r="H1177" s="38"/>
      <c r="I1177" s="32"/>
    </row>
    <row r="1178" spans="1:9" x14ac:dyDescent="0.25">
      <c r="A1178" s="1"/>
      <c r="B1178" s="9"/>
      <c r="C1178" s="37"/>
      <c r="D1178" s="27"/>
      <c r="E1178" s="30"/>
      <c r="F1178" s="28"/>
      <c r="G1178" s="29"/>
      <c r="H1178" s="38"/>
      <c r="I1178" s="32"/>
    </row>
    <row r="1179" spans="1:9" x14ac:dyDescent="0.25">
      <c r="A1179" s="1"/>
      <c r="B1179" s="9"/>
      <c r="C1179" s="37"/>
      <c r="D1179" s="27"/>
      <c r="E1179" s="30"/>
      <c r="F1179" s="28"/>
      <c r="G1179" s="29"/>
      <c r="H1179" s="38"/>
      <c r="I1179" s="32"/>
    </row>
    <row r="1180" spans="1:9" x14ac:dyDescent="0.25">
      <c r="A1180" s="1"/>
      <c r="B1180" s="9"/>
      <c r="C1180" s="37"/>
      <c r="D1180" s="27"/>
      <c r="E1180" s="30"/>
      <c r="F1180" s="28"/>
      <c r="G1180" s="29"/>
      <c r="H1180" s="38"/>
      <c r="I1180" s="32"/>
    </row>
    <row r="1181" spans="1:9" x14ac:dyDescent="0.25">
      <c r="A1181" s="1"/>
      <c r="B1181" s="9"/>
      <c r="C1181" s="37"/>
      <c r="D1181" s="27"/>
      <c r="E1181" s="30"/>
      <c r="F1181" s="28"/>
      <c r="G1181" s="29"/>
      <c r="H1181" s="38"/>
      <c r="I1181" s="32"/>
    </row>
    <row r="1182" spans="1:9" x14ac:dyDescent="0.25">
      <c r="A1182" s="1"/>
      <c r="B1182" s="9"/>
      <c r="C1182" s="37"/>
      <c r="D1182" s="27"/>
      <c r="E1182" s="30"/>
      <c r="F1182" s="28"/>
      <c r="G1182" s="29"/>
      <c r="H1182" s="38"/>
      <c r="I1182" s="32"/>
    </row>
    <row r="1183" spans="1:9" x14ac:dyDescent="0.25">
      <c r="A1183" s="1"/>
      <c r="B1183" s="9"/>
      <c r="C1183" s="37"/>
      <c r="D1183" s="27"/>
      <c r="E1183" s="30"/>
      <c r="F1183" s="28"/>
      <c r="G1183" s="29"/>
      <c r="H1183" s="38"/>
      <c r="I1183" s="32"/>
    </row>
    <row r="1184" spans="1:9" x14ac:dyDescent="0.25">
      <c r="A1184" s="1"/>
      <c r="B1184" s="9"/>
      <c r="C1184" s="37"/>
      <c r="D1184" s="27"/>
      <c r="E1184" s="30"/>
      <c r="F1184" s="28"/>
      <c r="G1184" s="29"/>
      <c r="H1184" s="38"/>
      <c r="I1184" s="32"/>
    </row>
    <row r="1185" spans="1:9" x14ac:dyDescent="0.25">
      <c r="A1185" s="1"/>
      <c r="B1185" s="9"/>
      <c r="C1185" s="37"/>
      <c r="D1185" s="27"/>
      <c r="E1185" s="30"/>
      <c r="F1185" s="28"/>
      <c r="G1185" s="29"/>
      <c r="H1185" s="38"/>
      <c r="I1185" s="32"/>
    </row>
    <row r="1186" spans="1:9" x14ac:dyDescent="0.25">
      <c r="A1186" s="1"/>
      <c r="B1186" s="9"/>
      <c r="C1186" s="37"/>
      <c r="D1186" s="27"/>
      <c r="E1186" s="30"/>
      <c r="F1186" s="28"/>
      <c r="G1186" s="29"/>
      <c r="H1186" s="38"/>
      <c r="I1186" s="32"/>
    </row>
    <row r="1187" spans="1:9" x14ac:dyDescent="0.25">
      <c r="A1187" s="1"/>
      <c r="B1187" s="9"/>
      <c r="C1187" s="37"/>
      <c r="D1187" s="27"/>
      <c r="E1187" s="30"/>
      <c r="F1187" s="28"/>
      <c r="G1187" s="29"/>
      <c r="H1187" s="38"/>
      <c r="I1187" s="32"/>
    </row>
    <row r="1188" spans="1:9" x14ac:dyDescent="0.25">
      <c r="A1188" s="1"/>
      <c r="B1188" s="9"/>
      <c r="C1188" s="37"/>
      <c r="D1188" s="27"/>
      <c r="E1188" s="30"/>
      <c r="F1188" s="28"/>
      <c r="G1188" s="29"/>
      <c r="H1188" s="38"/>
      <c r="I1188" s="32"/>
    </row>
    <row r="1189" spans="1:9" x14ac:dyDescent="0.25">
      <c r="A1189" s="1"/>
      <c r="B1189" s="9"/>
      <c r="C1189" s="37"/>
      <c r="D1189" s="27"/>
      <c r="E1189" s="30"/>
      <c r="F1189" s="28"/>
      <c r="G1189" s="29"/>
      <c r="H1189" s="38"/>
      <c r="I1189" s="32"/>
    </row>
    <row r="1190" spans="1:9" x14ac:dyDescent="0.25">
      <c r="A1190" s="1"/>
      <c r="B1190" s="9"/>
      <c r="C1190" s="37"/>
      <c r="D1190" s="27"/>
      <c r="E1190" s="30"/>
      <c r="F1190" s="28"/>
      <c r="G1190" s="29"/>
      <c r="H1190" s="38"/>
      <c r="I1190" s="32"/>
    </row>
    <row r="1191" spans="1:9" x14ac:dyDescent="0.25">
      <c r="A1191" s="1"/>
      <c r="B1191" s="9"/>
      <c r="C1191" s="37"/>
      <c r="D1191" s="27"/>
      <c r="E1191" s="30"/>
      <c r="F1191" s="28"/>
      <c r="G1191" s="29"/>
      <c r="H1191" s="38"/>
      <c r="I1191" s="32"/>
    </row>
    <row r="1192" spans="1:9" x14ac:dyDescent="0.25">
      <c r="A1192" s="1"/>
      <c r="B1192" s="9"/>
      <c r="C1192" s="37"/>
      <c r="D1192" s="27"/>
      <c r="E1192" s="30"/>
      <c r="F1192" s="28"/>
      <c r="G1192" s="29"/>
      <c r="H1192" s="38"/>
      <c r="I1192" s="32"/>
    </row>
    <row r="1193" spans="1:9" x14ac:dyDescent="0.25">
      <c r="A1193" s="26"/>
      <c r="B1193" s="9"/>
      <c r="C1193" s="44"/>
      <c r="D1193" s="27"/>
      <c r="E1193" s="30"/>
      <c r="F1193" s="28"/>
      <c r="G1193" s="29"/>
      <c r="H1193" s="38"/>
      <c r="I1193" s="32"/>
    </row>
    <row r="1194" spans="1:9" x14ac:dyDescent="0.25">
      <c r="A1194" s="21"/>
      <c r="B1194" s="16"/>
      <c r="C1194" s="17"/>
      <c r="D1194" s="46"/>
      <c r="E1194" s="18"/>
      <c r="F1194" s="47"/>
      <c r="G1194" s="56"/>
      <c r="H1194" s="19"/>
      <c r="I1194" s="48"/>
    </row>
    <row r="1195" spans="1:9" x14ac:dyDescent="0.25">
      <c r="C1195" s="52"/>
      <c r="D1195" s="49"/>
      <c r="G1195" s="29"/>
      <c r="H1195" s="28"/>
      <c r="I1195" s="51"/>
    </row>
    <row r="1196" spans="1:9" ht="15.75" thickBot="1" x14ac:dyDescent="0.3">
      <c r="E1196" s="53" t="s">
        <v>6</v>
      </c>
      <c r="G1196" s="57"/>
      <c r="H1196" s="142"/>
      <c r="I1196" s="54"/>
    </row>
    <row r="1197" spans="1:9" ht="15.75" thickTop="1" x14ac:dyDescent="0.25">
      <c r="E1197" s="58"/>
    </row>
    <row r="1198" spans="1:9" x14ac:dyDescent="0.25">
      <c r="A1198" s="59"/>
      <c r="B1198" s="60"/>
      <c r="C1198" s="61"/>
      <c r="D1198" s="62"/>
      <c r="E1198" s="63"/>
      <c r="F1198" s="60"/>
      <c r="G1198" s="60"/>
      <c r="H1198" s="143"/>
      <c r="I1198" s="62"/>
    </row>
    <row r="1199" spans="1:9" x14ac:dyDescent="0.25">
      <c r="A1199" s="64"/>
      <c r="B1199" s="65"/>
      <c r="C1199" s="66"/>
      <c r="D1199" s="67"/>
      <c r="E1199" s="68"/>
      <c r="F1199" s="69"/>
      <c r="G1199" s="70"/>
      <c r="H1199" s="144" t="s">
        <v>2</v>
      </c>
      <c r="I1199" s="71"/>
    </row>
    <row r="1200" spans="1:9" x14ac:dyDescent="0.25">
      <c r="A1200" s="72"/>
      <c r="B1200" s="73"/>
      <c r="C1200" s="74" t="s">
        <v>0</v>
      </c>
      <c r="D1200" s="75"/>
      <c r="E1200" s="76" t="s">
        <v>3</v>
      </c>
      <c r="F1200" s="77"/>
      <c r="G1200" s="78" t="s">
        <v>1</v>
      </c>
      <c r="H1200" s="145" t="s">
        <v>4</v>
      </c>
      <c r="I1200" s="79" t="s">
        <v>5</v>
      </c>
    </row>
    <row r="1201" spans="1:9" x14ac:dyDescent="0.25">
      <c r="A1201" s="26"/>
      <c r="B1201" s="9"/>
      <c r="C1201" s="44"/>
      <c r="D1201" s="27"/>
      <c r="E1201" s="30"/>
      <c r="F1201" s="28"/>
      <c r="G1201" s="29"/>
      <c r="I1201" s="32"/>
    </row>
    <row r="1202" spans="1:9" x14ac:dyDescent="0.25">
      <c r="A1202" s="26"/>
      <c r="B1202" s="9"/>
      <c r="C1202" s="33" t="s">
        <v>32</v>
      </c>
      <c r="D1202" s="41"/>
      <c r="E1202" s="34"/>
      <c r="F1202" s="28"/>
      <c r="G1202" s="29"/>
      <c r="H1202" s="38"/>
      <c r="I1202" s="35"/>
    </row>
    <row r="1203" spans="1:9" x14ac:dyDescent="0.25">
      <c r="A1203" s="26"/>
      <c r="B1203" s="9"/>
      <c r="C1203" s="37"/>
      <c r="D1203" s="41"/>
      <c r="E1203" s="34"/>
      <c r="F1203" s="28"/>
      <c r="G1203" s="29"/>
      <c r="H1203" s="38"/>
      <c r="I1203" s="32"/>
    </row>
    <row r="1204" spans="1:9" ht="30" x14ac:dyDescent="0.25">
      <c r="A1204" s="26"/>
      <c r="B1204" s="9"/>
      <c r="C1204" s="45" t="s">
        <v>49</v>
      </c>
      <c r="D1204" s="27"/>
      <c r="E1204" s="30"/>
      <c r="F1204" s="28"/>
      <c r="G1204" s="29"/>
      <c r="H1204" s="38"/>
      <c r="I1204" s="32"/>
    </row>
    <row r="1205" spans="1:9" x14ac:dyDescent="0.25">
      <c r="A1205" s="26"/>
      <c r="B1205" s="9"/>
      <c r="C1205" s="44"/>
      <c r="D1205" s="27"/>
      <c r="E1205" s="30"/>
      <c r="F1205" s="28"/>
      <c r="G1205" s="29"/>
      <c r="H1205" s="38"/>
      <c r="I1205" s="32"/>
    </row>
    <row r="1206" spans="1:9" x14ac:dyDescent="0.25">
      <c r="A1206" s="26" t="s">
        <v>9</v>
      </c>
      <c r="B1206" s="9"/>
      <c r="C1206" s="37" t="s">
        <v>22</v>
      </c>
      <c r="D1206" s="27"/>
      <c r="E1206" s="30">
        <f>ROUND(1021.82,0)</f>
        <v>1022</v>
      </c>
      <c r="F1206" s="28"/>
      <c r="G1206" s="29" t="s">
        <v>21</v>
      </c>
      <c r="H1206" s="38"/>
      <c r="I1206" s="32"/>
    </row>
    <row r="1207" spans="1:9" x14ac:dyDescent="0.25">
      <c r="A1207" s="26"/>
      <c r="B1207" s="9"/>
      <c r="C1207" s="42"/>
      <c r="D1207" s="27"/>
      <c r="E1207" s="30"/>
      <c r="F1207" s="28"/>
      <c r="G1207" s="43"/>
      <c r="H1207" s="38"/>
      <c r="I1207" s="32"/>
    </row>
    <row r="1208" spans="1:9" x14ac:dyDescent="0.25">
      <c r="A1208" s="26" t="s">
        <v>10</v>
      </c>
      <c r="B1208" s="9"/>
      <c r="C1208" s="37" t="s">
        <v>50</v>
      </c>
      <c r="D1208" s="27"/>
      <c r="E1208" s="30">
        <f>ROUND(1021.82,0)</f>
        <v>1022</v>
      </c>
      <c r="F1208" s="28"/>
      <c r="G1208" s="29" t="s">
        <v>21</v>
      </c>
      <c r="H1208" s="38"/>
      <c r="I1208" s="32"/>
    </row>
    <row r="1209" spans="1:9" x14ac:dyDescent="0.25">
      <c r="A1209" s="26"/>
      <c r="B1209" s="10"/>
      <c r="C1209" s="44"/>
      <c r="D1209" s="27"/>
      <c r="E1209" s="30"/>
      <c r="F1209" s="28"/>
      <c r="G1209" s="29"/>
      <c r="H1209" s="38"/>
      <c r="I1209" s="35"/>
    </row>
    <row r="1210" spans="1:9" x14ac:dyDescent="0.25">
      <c r="A1210" s="26" t="s">
        <v>11</v>
      </c>
      <c r="B1210" s="9"/>
      <c r="C1210" s="37" t="s">
        <v>51</v>
      </c>
      <c r="D1210" s="27"/>
      <c r="E1210" s="30">
        <f>ROUND(1032.18,0)</f>
        <v>1032</v>
      </c>
      <c r="F1210" s="28"/>
      <c r="G1210" s="29" t="s">
        <v>21</v>
      </c>
      <c r="H1210" s="38"/>
      <c r="I1210" s="32"/>
    </row>
    <row r="1211" spans="1:9" x14ac:dyDescent="0.25">
      <c r="A1211" s="26"/>
      <c r="B1211" s="10"/>
      <c r="C1211" s="44"/>
      <c r="D1211" s="27"/>
      <c r="E1211" s="30"/>
      <c r="F1211" s="28"/>
      <c r="G1211" s="29"/>
      <c r="H1211" s="38"/>
      <c r="I1211" s="35"/>
    </row>
    <row r="1212" spans="1:9" x14ac:dyDescent="0.25">
      <c r="A1212" s="26" t="s">
        <v>12</v>
      </c>
      <c r="B1212" s="9"/>
      <c r="C1212" s="37" t="s">
        <v>52</v>
      </c>
      <c r="D1212" s="27"/>
      <c r="E1212" s="30">
        <f>ROUND(425.63,0)</f>
        <v>426</v>
      </c>
      <c r="F1212" s="28"/>
      <c r="G1212" s="29" t="s">
        <v>21</v>
      </c>
      <c r="H1212" s="38"/>
      <c r="I1212" s="32"/>
    </row>
    <row r="1213" spans="1:9" x14ac:dyDescent="0.25">
      <c r="A1213" s="26"/>
      <c r="B1213" s="9"/>
      <c r="C1213" s="37"/>
      <c r="D1213" s="27"/>
      <c r="E1213" s="30"/>
      <c r="F1213" s="28"/>
      <c r="G1213" s="29"/>
      <c r="H1213" s="38"/>
      <c r="I1213" s="32"/>
    </row>
    <row r="1214" spans="1:9" ht="28.5" x14ac:dyDescent="0.25">
      <c r="A1214" s="26" t="s">
        <v>13</v>
      </c>
      <c r="B1214" s="9"/>
      <c r="C1214" s="37" t="s">
        <v>53</v>
      </c>
      <c r="D1214" s="27"/>
      <c r="E1214" s="30">
        <f>ROUND(100.99,0)</f>
        <v>101</v>
      </c>
      <c r="F1214" s="28"/>
      <c r="G1214" s="29" t="s">
        <v>21</v>
      </c>
      <c r="H1214" s="38"/>
      <c r="I1214" s="32"/>
    </row>
    <row r="1215" spans="1:9" x14ac:dyDescent="0.25">
      <c r="A1215" s="26"/>
      <c r="B1215" s="10"/>
      <c r="C1215" s="37"/>
      <c r="D1215" s="27"/>
      <c r="E1215" s="30"/>
      <c r="F1215" s="28"/>
      <c r="G1215" s="29"/>
      <c r="H1215" s="38"/>
      <c r="I1215" s="35"/>
    </row>
    <row r="1216" spans="1:9" ht="28.5" x14ac:dyDescent="0.25">
      <c r="A1216" s="26" t="s">
        <v>14</v>
      </c>
      <c r="B1216" s="9"/>
      <c r="C1216" s="44" t="s">
        <v>54</v>
      </c>
      <c r="D1216" s="29"/>
      <c r="E1216" s="30">
        <f>ROUND(185.9*3.3,0)</f>
        <v>613</v>
      </c>
      <c r="F1216" s="31"/>
      <c r="G1216" s="29" t="s">
        <v>21</v>
      </c>
      <c r="H1216" s="38"/>
      <c r="I1216" s="32"/>
    </row>
    <row r="1217" spans="1:9" x14ac:dyDescent="0.25">
      <c r="A1217" s="26"/>
      <c r="B1217" s="9"/>
      <c r="C1217" s="44"/>
      <c r="D1217" s="29"/>
      <c r="E1217" s="30"/>
      <c r="F1217" s="31"/>
      <c r="G1217" s="29"/>
      <c r="H1217" s="38"/>
      <c r="I1217" s="32"/>
    </row>
    <row r="1218" spans="1:9" x14ac:dyDescent="0.25">
      <c r="A1218" s="26" t="s">
        <v>15</v>
      </c>
      <c r="B1218" s="9"/>
      <c r="C1218" s="44" t="s">
        <v>55</v>
      </c>
      <c r="D1218" s="29"/>
      <c r="E1218" s="30">
        <f>ROUND(105.26*5,0)</f>
        <v>526</v>
      </c>
      <c r="F1218" s="31"/>
      <c r="G1218" s="29" t="s">
        <v>21</v>
      </c>
      <c r="H1218" s="38"/>
      <c r="I1218" s="32"/>
    </row>
    <row r="1219" spans="1:9" x14ac:dyDescent="0.25">
      <c r="A1219" s="26"/>
      <c r="B1219" s="9"/>
      <c r="C1219" s="37"/>
      <c r="D1219" s="27"/>
      <c r="E1219" s="30"/>
      <c r="F1219" s="28"/>
      <c r="G1219" s="29"/>
      <c r="H1219" s="38"/>
      <c r="I1219" s="35"/>
    </row>
    <row r="1220" spans="1:9" x14ac:dyDescent="0.25">
      <c r="A1220" s="26" t="s">
        <v>16</v>
      </c>
      <c r="B1220" s="9"/>
      <c r="C1220" s="39" t="s">
        <v>23</v>
      </c>
      <c r="D1220" s="27"/>
      <c r="E1220" s="30">
        <f>ROUND(253.71*3.25,0)</f>
        <v>825</v>
      </c>
      <c r="F1220" s="28"/>
      <c r="G1220" s="29" t="s">
        <v>21</v>
      </c>
      <c r="H1220" s="38"/>
      <c r="I1220" s="32"/>
    </row>
    <row r="1221" spans="1:9" x14ac:dyDescent="0.25">
      <c r="A1221" s="26"/>
      <c r="B1221" s="9"/>
      <c r="C1221" s="44"/>
      <c r="D1221" s="27"/>
      <c r="E1221" s="30"/>
      <c r="F1221" s="28"/>
      <c r="G1221" s="29"/>
      <c r="H1221" s="38"/>
      <c r="I1221" s="35"/>
    </row>
    <row r="1222" spans="1:9" x14ac:dyDescent="0.25">
      <c r="A1222" s="26" t="s">
        <v>17</v>
      </c>
      <c r="B1222" s="9"/>
      <c r="C1222" s="39" t="s">
        <v>41</v>
      </c>
      <c r="D1222" s="27"/>
      <c r="E1222" s="30">
        <f>ROUND(253.71*3.25,0)</f>
        <v>825</v>
      </c>
      <c r="F1222" s="28"/>
      <c r="G1222" s="29" t="s">
        <v>21</v>
      </c>
      <c r="H1222" s="38"/>
      <c r="I1222" s="32"/>
    </row>
    <row r="1223" spans="1:9" x14ac:dyDescent="0.25">
      <c r="A1223" s="26"/>
      <c r="B1223" s="9"/>
      <c r="C1223" s="44"/>
      <c r="D1223" s="27"/>
      <c r="E1223" s="30"/>
      <c r="F1223" s="28"/>
      <c r="G1223" s="29"/>
      <c r="H1223" s="38"/>
      <c r="I1223" s="35"/>
    </row>
    <row r="1224" spans="1:9" x14ac:dyDescent="0.25">
      <c r="A1224" s="26" t="s">
        <v>18</v>
      </c>
      <c r="B1224" s="9"/>
      <c r="C1224" s="39" t="s">
        <v>42</v>
      </c>
      <c r="D1224" s="27"/>
      <c r="E1224" s="30">
        <f>ROUND(253.71*3.25,0)</f>
        <v>825</v>
      </c>
      <c r="F1224" s="28"/>
      <c r="G1224" s="29" t="s">
        <v>21</v>
      </c>
      <c r="H1224" s="38"/>
      <c r="I1224" s="35"/>
    </row>
    <row r="1225" spans="1:9" x14ac:dyDescent="0.25">
      <c r="A1225" s="26"/>
      <c r="B1225" s="9"/>
      <c r="C1225" s="44"/>
      <c r="D1225" s="27"/>
      <c r="E1225" s="30"/>
      <c r="F1225" s="28"/>
      <c r="G1225" s="29"/>
      <c r="I1225" s="35"/>
    </row>
    <row r="1226" spans="1:9" ht="28.5" x14ac:dyDescent="0.25">
      <c r="A1226" s="26" t="s">
        <v>19</v>
      </c>
      <c r="B1226" s="9"/>
      <c r="C1226" s="44" t="s">
        <v>44</v>
      </c>
      <c r="D1226" s="27"/>
      <c r="E1226" s="30">
        <f>ROUND(149.58*3.25,0)</f>
        <v>486</v>
      </c>
      <c r="F1226" s="28"/>
      <c r="G1226" s="29" t="s">
        <v>21</v>
      </c>
      <c r="I1226" s="35"/>
    </row>
    <row r="1227" spans="1:9" x14ac:dyDescent="0.25">
      <c r="A1227" s="26"/>
      <c r="B1227" s="9"/>
      <c r="C1227" s="44"/>
      <c r="D1227" s="27"/>
      <c r="E1227" s="30"/>
      <c r="F1227" s="28"/>
      <c r="G1227" s="29"/>
      <c r="I1227" s="32"/>
    </row>
    <row r="1228" spans="1:9" ht="28.5" x14ac:dyDescent="0.25">
      <c r="A1228" s="26" t="s">
        <v>26</v>
      </c>
      <c r="B1228" s="9"/>
      <c r="C1228" s="44" t="s">
        <v>56</v>
      </c>
      <c r="D1228" s="27"/>
      <c r="E1228" s="30">
        <f>ROUND((57.67*1.6)+(64.78*1.5)+(34.64*1.5)+(8.93*1.7)+(9.87*0.8)+(51.06*0.7)+(27.67*0.9)+(36.66*0.7),0)</f>
        <v>351</v>
      </c>
      <c r="F1228" s="28"/>
      <c r="G1228" s="29" t="s">
        <v>21</v>
      </c>
      <c r="H1228" s="38"/>
      <c r="I1228" s="32"/>
    </row>
    <row r="1229" spans="1:9" x14ac:dyDescent="0.25">
      <c r="A1229" s="26"/>
      <c r="B1229" s="10"/>
      <c r="C1229" s="44"/>
      <c r="D1229" s="27"/>
      <c r="E1229" s="30"/>
      <c r="F1229" s="28"/>
      <c r="G1229" s="29"/>
      <c r="H1229" s="38"/>
      <c r="I1229" s="35"/>
    </row>
    <row r="1230" spans="1:9" ht="28.5" x14ac:dyDescent="0.25">
      <c r="A1230" s="26" t="s">
        <v>27</v>
      </c>
      <c r="B1230" s="9"/>
      <c r="C1230" s="44" t="s">
        <v>57</v>
      </c>
      <c r="D1230" s="27"/>
      <c r="E1230" s="30">
        <f>ROUND((57.67*1.6)+(64.78*1.5)+(34.64*1.5)+(8.93*1.7)+(9.87*0.8)+(51.06*0.7)+(27.67*0.9)+(36.66*0.7),0)</f>
        <v>351</v>
      </c>
      <c r="F1230" s="28"/>
      <c r="G1230" s="29" t="s">
        <v>21</v>
      </c>
      <c r="H1230" s="38"/>
      <c r="I1230" s="32"/>
    </row>
    <row r="1231" spans="1:9" x14ac:dyDescent="0.25">
      <c r="A1231" s="26"/>
      <c r="B1231" s="10"/>
      <c r="C1231" s="44"/>
      <c r="D1231" s="27"/>
      <c r="E1231" s="30"/>
      <c r="F1231" s="28"/>
      <c r="G1231" s="29"/>
      <c r="I1231" s="35"/>
    </row>
    <row r="1232" spans="1:9" ht="28.5" x14ac:dyDescent="0.25">
      <c r="A1232" s="26" t="s">
        <v>28</v>
      </c>
      <c r="B1232" s="9"/>
      <c r="C1232" s="44" t="s">
        <v>58</v>
      </c>
      <c r="D1232" s="27"/>
      <c r="E1232" s="30">
        <f>ROUND((12.94*0.6)+(28.78*0.7)+(21.31*0.7)+(26.7*0.55)+(1.1*0.9)+(3.85*1.6)+(20.77*0.85)+(89.01*1.45)+(29.08*1.5)+(33.27*1.55)+(8.91*1.7)+(13.11*1.4)+(22.13*0.6)+(4.88*0.75)+(27.67*0.9),0)</f>
        <v>382</v>
      </c>
      <c r="F1232" s="28"/>
      <c r="G1232" s="29" t="s">
        <v>21</v>
      </c>
      <c r="H1232" s="38"/>
      <c r="I1232" s="32"/>
    </row>
    <row r="1233" spans="1:9" x14ac:dyDescent="0.25">
      <c r="A1233" s="26"/>
      <c r="B1233" s="10"/>
      <c r="C1233" s="44"/>
      <c r="D1233" s="27"/>
      <c r="E1233" s="30"/>
      <c r="F1233" s="28"/>
      <c r="G1233" s="29"/>
      <c r="I1233" s="35"/>
    </row>
    <row r="1234" spans="1:9" ht="28.5" x14ac:dyDescent="0.25">
      <c r="A1234" s="26" t="s">
        <v>29</v>
      </c>
      <c r="B1234" s="9"/>
      <c r="C1234" s="44" t="s">
        <v>59</v>
      </c>
      <c r="D1234" s="27"/>
      <c r="E1234" s="30">
        <f>ROUND((20.9*0.9)+(1.86*0.7)+(10.58*0.85)+(69.17*1.02)+(11.15*1)+(8.01*1.1),0)</f>
        <v>120</v>
      </c>
      <c r="F1234" s="28"/>
      <c r="G1234" s="29" t="s">
        <v>21</v>
      </c>
      <c r="H1234" s="38"/>
      <c r="I1234" s="32"/>
    </row>
    <row r="1235" spans="1:9" x14ac:dyDescent="0.25">
      <c r="A1235" s="26"/>
      <c r="B1235" s="10"/>
      <c r="C1235" s="44"/>
      <c r="D1235" s="27"/>
      <c r="E1235" s="30"/>
      <c r="F1235" s="28"/>
      <c r="G1235" s="29"/>
      <c r="I1235" s="35"/>
    </row>
    <row r="1236" spans="1:9" x14ac:dyDescent="0.25">
      <c r="A1236" s="26" t="s">
        <v>30</v>
      </c>
      <c r="B1236" s="9"/>
      <c r="C1236" s="44" t="s">
        <v>60</v>
      </c>
      <c r="D1236" s="27"/>
      <c r="E1236" s="30">
        <f>ROUND(148.91,0)</f>
        <v>149</v>
      </c>
      <c r="F1236" s="28"/>
      <c r="G1236" s="43" t="s">
        <v>20</v>
      </c>
      <c r="H1236" s="38"/>
      <c r="I1236" s="32"/>
    </row>
    <row r="1237" spans="1:9" x14ac:dyDescent="0.25">
      <c r="A1237" s="26"/>
      <c r="B1237" s="10"/>
      <c r="C1237" s="44"/>
      <c r="D1237" s="27"/>
      <c r="E1237" s="30"/>
      <c r="F1237" s="28"/>
      <c r="G1237" s="29"/>
      <c r="I1237" s="35"/>
    </row>
    <row r="1238" spans="1:9" x14ac:dyDescent="0.25">
      <c r="A1238" s="26" t="s">
        <v>31</v>
      </c>
      <c r="B1238" s="9"/>
      <c r="C1238" s="44" t="s">
        <v>61</v>
      </c>
      <c r="D1238" s="27"/>
      <c r="E1238" s="30">
        <f>ROUND(109.99,0)</f>
        <v>110</v>
      </c>
      <c r="F1238" s="28"/>
      <c r="G1238" s="43" t="s">
        <v>20</v>
      </c>
      <c r="H1238" s="38"/>
      <c r="I1238" s="32"/>
    </row>
    <row r="1239" spans="1:9" ht="4.3499999999999996" customHeight="1" x14ac:dyDescent="0.25">
      <c r="A1239" s="26"/>
      <c r="B1239" s="10"/>
      <c r="C1239" s="44"/>
      <c r="D1239" s="27"/>
      <c r="E1239" s="30"/>
      <c r="F1239" s="28"/>
      <c r="G1239" s="29"/>
      <c r="I1239" s="35"/>
    </row>
    <row r="1240" spans="1:9" ht="28.5" x14ac:dyDescent="0.25">
      <c r="A1240" s="26" t="s">
        <v>38</v>
      </c>
      <c r="B1240" s="9"/>
      <c r="C1240" s="44" t="s">
        <v>62</v>
      </c>
      <c r="D1240" s="27"/>
      <c r="E1240" s="30">
        <f>ROUND(80.57,0)</f>
        <v>81</v>
      </c>
      <c r="F1240" s="28"/>
      <c r="G1240" s="43" t="s">
        <v>20</v>
      </c>
      <c r="H1240" s="38"/>
      <c r="I1240" s="32"/>
    </row>
    <row r="1241" spans="1:9" ht="3.6" customHeight="1" x14ac:dyDescent="0.25">
      <c r="A1241" s="26"/>
      <c r="B1241" s="9"/>
      <c r="C1241" s="44"/>
      <c r="D1241" s="27"/>
      <c r="E1241" s="30"/>
      <c r="F1241" s="28"/>
      <c r="G1241" s="43"/>
      <c r="I1241" s="35"/>
    </row>
    <row r="1242" spans="1:9" ht="28.5" x14ac:dyDescent="0.25">
      <c r="A1242" s="26" t="s">
        <v>39</v>
      </c>
      <c r="B1242" s="9"/>
      <c r="C1242" s="44" t="s">
        <v>63</v>
      </c>
      <c r="D1242" s="27"/>
      <c r="E1242" s="30">
        <f>ROUND(13.47,0)</f>
        <v>13</v>
      </c>
      <c r="F1242" s="28"/>
      <c r="G1242" s="43" t="s">
        <v>20</v>
      </c>
      <c r="H1242" s="38"/>
      <c r="I1242" s="32"/>
    </row>
    <row r="1243" spans="1:9" ht="5.45" customHeight="1" x14ac:dyDescent="0.25">
      <c r="A1243" s="26"/>
      <c r="B1243" s="10"/>
      <c r="C1243" s="44"/>
      <c r="D1243" s="27"/>
      <c r="E1243" s="30"/>
      <c r="F1243" s="28"/>
      <c r="G1243" s="29"/>
      <c r="I1243" s="35"/>
    </row>
    <row r="1244" spans="1:9" x14ac:dyDescent="0.25">
      <c r="A1244" s="26" t="s">
        <v>43</v>
      </c>
      <c r="B1244" s="10"/>
      <c r="C1244" s="44" t="s">
        <v>64</v>
      </c>
      <c r="D1244" s="27"/>
      <c r="E1244" s="30">
        <f>ROUND(159.55,0)</f>
        <v>160</v>
      </c>
      <c r="F1244" s="28"/>
      <c r="G1244" s="43" t="s">
        <v>20</v>
      </c>
      <c r="I1244" s="35"/>
    </row>
    <row r="1245" spans="1:9" ht="5.45" customHeight="1" x14ac:dyDescent="0.25">
      <c r="A1245" s="26"/>
      <c r="B1245" s="10"/>
      <c r="C1245" s="44"/>
      <c r="D1245" s="27"/>
      <c r="E1245" s="30"/>
      <c r="F1245" s="28"/>
      <c r="G1245" s="43"/>
      <c r="I1245" s="35"/>
    </row>
    <row r="1246" spans="1:9" x14ac:dyDescent="0.25">
      <c r="A1246" s="26" t="s">
        <v>45</v>
      </c>
      <c r="B1246" s="10"/>
      <c r="C1246" s="44" t="s">
        <v>65</v>
      </c>
      <c r="D1246" s="27"/>
      <c r="E1246" s="30">
        <f>ROUND(121.82,0)</f>
        <v>122</v>
      </c>
      <c r="F1246" s="28"/>
      <c r="G1246" s="43" t="s">
        <v>20</v>
      </c>
      <c r="I1246" s="35"/>
    </row>
    <row r="1247" spans="1:9" x14ac:dyDescent="0.25">
      <c r="A1247" s="21"/>
      <c r="B1247" s="23"/>
      <c r="C1247" s="81"/>
      <c r="D1247" s="82"/>
      <c r="E1247" s="83"/>
      <c r="F1247" s="25"/>
      <c r="G1247" s="56"/>
      <c r="H1247" s="19"/>
      <c r="I1247" s="84"/>
    </row>
    <row r="1248" spans="1:9" x14ac:dyDescent="0.25">
      <c r="B1248" s="10"/>
      <c r="C1248" s="40"/>
      <c r="D1248" s="85"/>
      <c r="E1248" s="34"/>
      <c r="F1248" s="9"/>
      <c r="G1248" s="29"/>
      <c r="H1248" s="50"/>
      <c r="I1248" s="86"/>
    </row>
    <row r="1249" spans="1:9" ht="15.75" thickBot="1" x14ac:dyDescent="0.3">
      <c r="E1249" s="53" t="s">
        <v>6</v>
      </c>
      <c r="G1249" s="57"/>
      <c r="H1249" s="142"/>
      <c r="I1249" s="54"/>
    </row>
    <row r="1250" spans="1:9" ht="15.75" thickTop="1" x14ac:dyDescent="0.25">
      <c r="E1250" s="58"/>
    </row>
    <row r="1251" spans="1:9" x14ac:dyDescent="0.25">
      <c r="A1251" s="59"/>
      <c r="B1251" s="60"/>
      <c r="C1251" s="61"/>
      <c r="D1251" s="62"/>
      <c r="E1251" s="63"/>
      <c r="F1251" s="60"/>
      <c r="G1251" s="60"/>
      <c r="H1251" s="143"/>
      <c r="I1251" s="62"/>
    </row>
    <row r="1252" spans="1:9" x14ac:dyDescent="0.25">
      <c r="A1252" s="64"/>
      <c r="B1252" s="65"/>
      <c r="C1252" s="66"/>
      <c r="D1252" s="67"/>
      <c r="E1252" s="68"/>
      <c r="F1252" s="69"/>
      <c r="G1252" s="70"/>
      <c r="H1252" s="144" t="s">
        <v>2</v>
      </c>
      <c r="I1252" s="71"/>
    </row>
    <row r="1253" spans="1:9" x14ac:dyDescent="0.25">
      <c r="A1253" s="72"/>
      <c r="B1253" s="73"/>
      <c r="C1253" s="74" t="s">
        <v>0</v>
      </c>
      <c r="D1253" s="75"/>
      <c r="E1253" s="76" t="s">
        <v>3</v>
      </c>
      <c r="F1253" s="77"/>
      <c r="G1253" s="78" t="s">
        <v>1</v>
      </c>
      <c r="H1253" s="145" t="s">
        <v>4</v>
      </c>
      <c r="I1253" s="79" t="s">
        <v>5</v>
      </c>
    </row>
    <row r="1254" spans="1:9" x14ac:dyDescent="0.25">
      <c r="A1254" s="26"/>
      <c r="B1254" s="10"/>
      <c r="C1254" s="40"/>
      <c r="D1254" s="41"/>
      <c r="E1254" s="34"/>
      <c r="F1254" s="28"/>
      <c r="G1254" s="29"/>
      <c r="I1254" s="35"/>
    </row>
    <row r="1255" spans="1:9" x14ac:dyDescent="0.25">
      <c r="A1255" s="26"/>
      <c r="B1255" s="10"/>
      <c r="C1255" s="33" t="s">
        <v>32</v>
      </c>
      <c r="D1255" s="41"/>
      <c r="E1255" s="34"/>
      <c r="F1255" s="28"/>
      <c r="G1255" s="29"/>
      <c r="I1255" s="35"/>
    </row>
    <row r="1256" spans="1:9" x14ac:dyDescent="0.25">
      <c r="A1256" s="26"/>
      <c r="B1256" s="10"/>
      <c r="C1256" s="37"/>
      <c r="D1256" s="41"/>
      <c r="E1256" s="34"/>
      <c r="F1256" s="28"/>
      <c r="G1256" s="29"/>
      <c r="I1256" s="35"/>
    </row>
    <row r="1257" spans="1:9" ht="30" x14ac:dyDescent="0.25">
      <c r="A1257" s="26"/>
      <c r="B1257" s="9"/>
      <c r="C1257" s="45" t="s">
        <v>49</v>
      </c>
      <c r="D1257" s="27"/>
      <c r="E1257" s="30"/>
      <c r="F1257" s="28"/>
      <c r="G1257" s="29"/>
      <c r="I1257" s="32"/>
    </row>
    <row r="1258" spans="1:9" x14ac:dyDescent="0.25">
      <c r="A1258" s="26"/>
      <c r="B1258" s="9"/>
      <c r="C1258" s="44"/>
      <c r="D1258" s="27"/>
      <c r="E1258" s="30"/>
      <c r="F1258" s="28"/>
      <c r="G1258" s="29"/>
      <c r="I1258" s="32"/>
    </row>
    <row r="1259" spans="1:9" ht="28.5" x14ac:dyDescent="0.25">
      <c r="A1259" s="26" t="s">
        <v>9</v>
      </c>
      <c r="B1259" s="9"/>
      <c r="C1259" s="44" t="s">
        <v>66</v>
      </c>
      <c r="D1259" s="27"/>
      <c r="E1259" s="30">
        <f>ROUND(24.59,0)</f>
        <v>25</v>
      </c>
      <c r="F1259" s="28"/>
      <c r="G1259" s="43" t="s">
        <v>20</v>
      </c>
      <c r="H1259" s="38"/>
      <c r="I1259" s="32"/>
    </row>
    <row r="1260" spans="1:9" x14ac:dyDescent="0.25">
      <c r="A1260" s="26"/>
      <c r="B1260" s="9"/>
      <c r="C1260" s="44"/>
      <c r="D1260" s="27"/>
      <c r="E1260" s="30"/>
      <c r="F1260" s="28"/>
      <c r="G1260" s="43"/>
      <c r="I1260" s="32"/>
    </row>
    <row r="1261" spans="1:9" ht="28.5" x14ac:dyDescent="0.25">
      <c r="A1261" s="26" t="s">
        <v>10</v>
      </c>
      <c r="B1261" s="9"/>
      <c r="C1261" s="44" t="s">
        <v>67</v>
      </c>
      <c r="D1261" s="27"/>
      <c r="E1261" s="30">
        <f>ROUND(19.66,0)</f>
        <v>20</v>
      </c>
      <c r="F1261" s="28"/>
      <c r="G1261" s="43" t="s">
        <v>20</v>
      </c>
      <c r="H1261" s="38"/>
      <c r="I1261" s="32"/>
    </row>
    <row r="1262" spans="1:9" x14ac:dyDescent="0.25">
      <c r="A1262" s="26"/>
      <c r="B1262" s="9"/>
      <c r="C1262" s="44"/>
      <c r="D1262" s="27"/>
      <c r="E1262" s="30"/>
      <c r="F1262" s="28"/>
      <c r="G1262" s="43"/>
      <c r="I1262" s="32"/>
    </row>
    <row r="1263" spans="1:9" x14ac:dyDescent="0.25">
      <c r="A1263" s="26" t="s">
        <v>11</v>
      </c>
      <c r="B1263" s="9"/>
      <c r="C1263" s="44" t="s">
        <v>68</v>
      </c>
      <c r="D1263" s="27"/>
      <c r="E1263" s="30">
        <f>ROUND(159.55,0)</f>
        <v>160</v>
      </c>
      <c r="F1263" s="28"/>
      <c r="G1263" s="43" t="s">
        <v>20</v>
      </c>
      <c r="H1263" s="38"/>
      <c r="I1263" s="32"/>
    </row>
    <row r="1264" spans="1:9" x14ac:dyDescent="0.25">
      <c r="A1264" s="26"/>
      <c r="B1264" s="9"/>
      <c r="C1264" s="44"/>
      <c r="D1264" s="27"/>
      <c r="E1264" s="30"/>
      <c r="F1264" s="28"/>
      <c r="G1264" s="43"/>
      <c r="I1264" s="32"/>
    </row>
    <row r="1265" spans="1:9" x14ac:dyDescent="0.25">
      <c r="A1265" s="26" t="s">
        <v>12</v>
      </c>
      <c r="B1265" s="9"/>
      <c r="C1265" s="44" t="s">
        <v>69</v>
      </c>
      <c r="D1265" s="27"/>
      <c r="E1265" s="30">
        <f>ROUND(121.82,0)</f>
        <v>122</v>
      </c>
      <c r="F1265" s="28"/>
      <c r="G1265" s="43" t="s">
        <v>20</v>
      </c>
      <c r="H1265" s="38"/>
      <c r="I1265" s="32"/>
    </row>
    <row r="1266" spans="1:9" x14ac:dyDescent="0.25">
      <c r="A1266" s="26"/>
      <c r="B1266" s="9"/>
      <c r="C1266" s="44"/>
      <c r="D1266" s="27"/>
      <c r="E1266" s="30"/>
      <c r="F1266" s="28"/>
      <c r="G1266" s="43"/>
      <c r="I1266" s="32"/>
    </row>
    <row r="1267" spans="1:9" ht="28.5" x14ac:dyDescent="0.25">
      <c r="A1267" s="26" t="s">
        <v>13</v>
      </c>
      <c r="B1267" s="9"/>
      <c r="C1267" s="44" t="s">
        <v>70</v>
      </c>
      <c r="D1267" s="27"/>
      <c r="E1267" s="30">
        <f>ROUND(24.59,0)</f>
        <v>25</v>
      </c>
      <c r="F1267" s="28"/>
      <c r="G1267" s="43" t="s">
        <v>20</v>
      </c>
      <c r="H1267" s="38"/>
      <c r="I1267" s="32"/>
    </row>
    <row r="1268" spans="1:9" x14ac:dyDescent="0.25">
      <c r="A1268" s="26"/>
      <c r="B1268" s="9"/>
      <c r="C1268" s="44"/>
      <c r="D1268" s="27"/>
      <c r="E1268" s="30"/>
      <c r="F1268" s="28"/>
      <c r="G1268" s="43"/>
      <c r="I1268" s="32"/>
    </row>
    <row r="1269" spans="1:9" ht="28.5" x14ac:dyDescent="0.25">
      <c r="A1269" s="26" t="s">
        <v>14</v>
      </c>
      <c r="B1269" s="9"/>
      <c r="C1269" s="44" t="s">
        <v>71</v>
      </c>
      <c r="D1269" s="27"/>
      <c r="E1269" s="30">
        <f>ROUND(19.66,0)</f>
        <v>20</v>
      </c>
      <c r="F1269" s="28"/>
      <c r="G1269" s="43" t="s">
        <v>20</v>
      </c>
      <c r="H1269" s="38"/>
      <c r="I1269" s="32"/>
    </row>
    <row r="1270" spans="1:9" x14ac:dyDescent="0.25">
      <c r="A1270" s="26"/>
      <c r="B1270" s="9"/>
      <c r="C1270" s="44"/>
      <c r="D1270" s="27"/>
      <c r="E1270" s="30"/>
      <c r="F1270" s="28"/>
      <c r="G1270" s="29"/>
      <c r="H1270" s="38"/>
      <c r="I1270" s="32"/>
    </row>
    <row r="1271" spans="1:9" x14ac:dyDescent="0.25">
      <c r="A1271" s="26" t="s">
        <v>15</v>
      </c>
      <c r="B1271" s="9"/>
      <c r="C1271" s="44" t="s">
        <v>72</v>
      </c>
      <c r="D1271" s="27"/>
      <c r="E1271" s="30">
        <f>ROUND(45.3,0)</f>
        <v>45</v>
      </c>
      <c r="F1271" s="28"/>
      <c r="G1271" s="43" t="s">
        <v>20</v>
      </c>
      <c r="H1271" s="38"/>
      <c r="I1271" s="32"/>
    </row>
    <row r="1272" spans="1:9" x14ac:dyDescent="0.25">
      <c r="A1272" s="26"/>
      <c r="B1272" s="9"/>
      <c r="C1272" s="44"/>
      <c r="D1272" s="27"/>
      <c r="E1272" s="30"/>
      <c r="F1272" s="28"/>
      <c r="G1272" s="43"/>
      <c r="H1272" s="38"/>
      <c r="I1272" s="32"/>
    </row>
    <row r="1273" spans="1:9" x14ac:dyDescent="0.25">
      <c r="A1273" s="26" t="s">
        <v>16</v>
      </c>
      <c r="B1273" s="9"/>
      <c r="C1273" s="44" t="s">
        <v>73</v>
      </c>
      <c r="D1273" s="27"/>
      <c r="E1273" s="30">
        <f>ROUND(57.9,0)</f>
        <v>58</v>
      </c>
      <c r="F1273" s="28"/>
      <c r="G1273" s="43" t="s">
        <v>20</v>
      </c>
      <c r="H1273" s="38"/>
      <c r="I1273" s="32"/>
    </row>
    <row r="1274" spans="1:9" x14ac:dyDescent="0.25">
      <c r="A1274" s="26"/>
      <c r="B1274" s="9"/>
      <c r="C1274" s="44"/>
      <c r="D1274" s="27"/>
      <c r="E1274" s="30"/>
      <c r="F1274" s="28"/>
      <c r="G1274" s="29"/>
      <c r="I1274" s="32"/>
    </row>
    <row r="1275" spans="1:9" x14ac:dyDescent="0.25">
      <c r="A1275" s="26" t="s">
        <v>17</v>
      </c>
      <c r="B1275" s="9"/>
      <c r="C1275" s="44" t="s">
        <v>74</v>
      </c>
      <c r="D1275" s="27"/>
      <c r="E1275" s="30">
        <f>ROUND(110.68,0)</f>
        <v>111</v>
      </c>
      <c r="F1275" s="28"/>
      <c r="G1275" s="43" t="s">
        <v>20</v>
      </c>
      <c r="H1275" s="38"/>
      <c r="I1275" s="32"/>
    </row>
    <row r="1276" spans="1:9" x14ac:dyDescent="0.25">
      <c r="A1276" s="26"/>
      <c r="B1276" s="9"/>
      <c r="C1276" s="44"/>
      <c r="D1276" s="27"/>
      <c r="E1276" s="30"/>
      <c r="F1276" s="28"/>
      <c r="G1276" s="43"/>
      <c r="H1276" s="38"/>
      <c r="I1276" s="32"/>
    </row>
    <row r="1277" spans="1:9" x14ac:dyDescent="0.25">
      <c r="A1277" s="26" t="s">
        <v>18</v>
      </c>
      <c r="B1277" s="9"/>
      <c r="C1277" s="44" t="s">
        <v>75</v>
      </c>
      <c r="D1277" s="27"/>
      <c r="E1277" s="30">
        <f>ROUND(25.01,0)</f>
        <v>25</v>
      </c>
      <c r="F1277" s="28"/>
      <c r="G1277" s="43" t="s">
        <v>20</v>
      </c>
      <c r="H1277" s="38"/>
      <c r="I1277" s="32"/>
    </row>
    <row r="1278" spans="1:9" x14ac:dyDescent="0.25">
      <c r="A1278" s="26"/>
      <c r="B1278" s="9"/>
      <c r="C1278" s="44"/>
      <c r="D1278" s="27"/>
      <c r="E1278" s="30"/>
      <c r="F1278" s="28"/>
      <c r="G1278" s="43"/>
      <c r="H1278" s="38"/>
      <c r="I1278" s="32"/>
    </row>
    <row r="1279" spans="1:9" ht="28.5" x14ac:dyDescent="0.25">
      <c r="A1279" s="26" t="s">
        <v>19</v>
      </c>
      <c r="B1279" s="9"/>
      <c r="C1279" s="44" t="s">
        <v>76</v>
      </c>
      <c r="D1279" s="27"/>
      <c r="E1279" s="30">
        <f>ROUND(26.28,0)</f>
        <v>26</v>
      </c>
      <c r="F1279" s="28"/>
      <c r="G1279" s="43" t="s">
        <v>20</v>
      </c>
      <c r="H1279" s="38"/>
      <c r="I1279" s="32"/>
    </row>
    <row r="1280" spans="1:9" x14ac:dyDescent="0.25">
      <c r="A1280" s="26"/>
      <c r="B1280" s="9"/>
      <c r="C1280" s="44"/>
      <c r="D1280" s="27"/>
      <c r="E1280" s="30"/>
      <c r="F1280" s="28"/>
      <c r="G1280" s="43"/>
      <c r="H1280" s="38"/>
      <c r="I1280" s="32"/>
    </row>
    <row r="1281" spans="1:9" ht="28.5" x14ac:dyDescent="0.25">
      <c r="A1281" s="26" t="s">
        <v>26</v>
      </c>
      <c r="B1281" s="9"/>
      <c r="C1281" s="44" t="s">
        <v>77</v>
      </c>
      <c r="D1281" s="27"/>
      <c r="E1281" s="30">
        <f>ROUND(3.39,0)</f>
        <v>3</v>
      </c>
      <c r="F1281" s="28"/>
      <c r="G1281" s="43" t="s">
        <v>20</v>
      </c>
      <c r="H1281" s="38"/>
      <c r="I1281" s="32"/>
    </row>
    <row r="1282" spans="1:9" x14ac:dyDescent="0.25">
      <c r="A1282" s="26"/>
      <c r="B1282" s="9"/>
      <c r="C1282" s="44"/>
      <c r="D1282" s="27"/>
      <c r="E1282" s="30"/>
      <c r="F1282" s="28"/>
      <c r="G1282" s="43"/>
      <c r="H1282" s="38"/>
      <c r="I1282" s="32"/>
    </row>
    <row r="1283" spans="1:9" ht="28.5" x14ac:dyDescent="0.25">
      <c r="A1283" s="26" t="s">
        <v>27</v>
      </c>
      <c r="B1283" s="9"/>
      <c r="C1283" s="44" t="s">
        <v>78</v>
      </c>
      <c r="D1283" s="27"/>
      <c r="E1283" s="30">
        <f>ROUND(4.06,0)</f>
        <v>4</v>
      </c>
      <c r="F1283" s="28"/>
      <c r="G1283" s="43" t="s">
        <v>20</v>
      </c>
      <c r="H1283" s="38"/>
      <c r="I1283" s="32"/>
    </row>
    <row r="1284" spans="1:9" x14ac:dyDescent="0.25">
      <c r="A1284" s="26"/>
      <c r="B1284" s="9"/>
      <c r="C1284" s="44"/>
      <c r="D1284" s="27"/>
      <c r="E1284" s="30"/>
      <c r="F1284" s="28"/>
      <c r="G1284" s="43"/>
      <c r="H1284" s="38"/>
      <c r="I1284" s="32"/>
    </row>
    <row r="1285" spans="1:9" x14ac:dyDescent="0.25">
      <c r="A1285" s="26" t="s">
        <v>28</v>
      </c>
      <c r="B1285" s="9"/>
      <c r="C1285" s="44" t="s">
        <v>79</v>
      </c>
      <c r="D1285" s="27"/>
      <c r="E1285" s="30">
        <f>ROUND(88.28,0)</f>
        <v>88</v>
      </c>
      <c r="F1285" s="28"/>
      <c r="G1285" s="43" t="s">
        <v>20</v>
      </c>
      <c r="H1285" s="38"/>
      <c r="I1285" s="32"/>
    </row>
    <row r="1286" spans="1:9" x14ac:dyDescent="0.25">
      <c r="A1286" s="26"/>
      <c r="B1286" s="9"/>
      <c r="C1286" s="44"/>
      <c r="D1286" s="27"/>
      <c r="E1286" s="30"/>
      <c r="F1286" s="28"/>
      <c r="G1286" s="43"/>
      <c r="H1286" s="38"/>
      <c r="I1286" s="32"/>
    </row>
    <row r="1287" spans="1:9" x14ac:dyDescent="0.25">
      <c r="A1287" s="26"/>
      <c r="B1287" s="9"/>
      <c r="C1287" s="44"/>
      <c r="D1287" s="27"/>
      <c r="E1287" s="30"/>
      <c r="F1287" s="28"/>
      <c r="G1287" s="43"/>
      <c r="H1287" s="38"/>
      <c r="I1287" s="32"/>
    </row>
    <row r="1288" spans="1:9" x14ac:dyDescent="0.25">
      <c r="A1288" s="26"/>
      <c r="B1288" s="9"/>
      <c r="C1288" s="44"/>
      <c r="D1288" s="27"/>
      <c r="E1288" s="30"/>
      <c r="F1288" s="28"/>
      <c r="G1288" s="43"/>
      <c r="H1288" s="38"/>
      <c r="I1288" s="32"/>
    </row>
    <row r="1289" spans="1:9" x14ac:dyDescent="0.25">
      <c r="A1289" s="26"/>
      <c r="B1289" s="9"/>
      <c r="C1289" s="44"/>
      <c r="D1289" s="27"/>
      <c r="E1289" s="30"/>
      <c r="F1289" s="28"/>
      <c r="G1289" s="43"/>
      <c r="H1289" s="38"/>
      <c r="I1289" s="32"/>
    </row>
    <row r="1290" spans="1:9" x14ac:dyDescent="0.25">
      <c r="D1290" s="27"/>
      <c r="E1290" s="30"/>
      <c r="F1290" s="28"/>
      <c r="G1290" s="43"/>
      <c r="H1290" s="38"/>
      <c r="I1290" s="32"/>
    </row>
    <row r="1291" spans="1:9" x14ac:dyDescent="0.25">
      <c r="A1291" s="26"/>
      <c r="B1291" s="9"/>
      <c r="C1291" s="44"/>
      <c r="D1291" s="27"/>
      <c r="E1291" s="30"/>
      <c r="F1291" s="28"/>
      <c r="G1291" s="43"/>
      <c r="H1291" s="38"/>
      <c r="I1291" s="32"/>
    </row>
    <row r="1292" spans="1:9" x14ac:dyDescent="0.25">
      <c r="A1292" s="26"/>
      <c r="B1292" s="9"/>
      <c r="C1292" s="44"/>
      <c r="D1292" s="27"/>
      <c r="E1292" s="30"/>
      <c r="F1292" s="28"/>
      <c r="G1292" s="43"/>
      <c r="H1292" s="38"/>
      <c r="I1292" s="32"/>
    </row>
    <row r="1293" spans="1:9" x14ac:dyDescent="0.25">
      <c r="A1293" s="26"/>
      <c r="B1293" s="9"/>
      <c r="C1293" s="44"/>
      <c r="D1293" s="27"/>
      <c r="E1293" s="30"/>
      <c r="F1293" s="28"/>
      <c r="G1293" s="43"/>
      <c r="H1293" s="38"/>
      <c r="I1293" s="32"/>
    </row>
    <row r="1294" spans="1:9" x14ac:dyDescent="0.25">
      <c r="A1294" s="26"/>
      <c r="B1294" s="9"/>
      <c r="C1294" s="44"/>
      <c r="D1294" s="27"/>
      <c r="E1294" s="30"/>
      <c r="F1294" s="28"/>
      <c r="G1294" s="43"/>
      <c r="H1294" s="38"/>
      <c r="I1294" s="32"/>
    </row>
    <row r="1295" spans="1:9" x14ac:dyDescent="0.25">
      <c r="A1295" s="26"/>
      <c r="B1295" s="9"/>
      <c r="C1295" s="44"/>
      <c r="D1295" s="27"/>
      <c r="E1295" s="30"/>
      <c r="F1295" s="28"/>
      <c r="G1295" s="43"/>
      <c r="H1295" s="38"/>
      <c r="I1295" s="32"/>
    </row>
    <row r="1296" spans="1:9" x14ac:dyDescent="0.25">
      <c r="A1296" s="26"/>
      <c r="B1296" s="9"/>
      <c r="C1296" s="44"/>
      <c r="D1296" s="27"/>
      <c r="E1296" s="30"/>
      <c r="F1296" s="28"/>
      <c r="G1296" s="43"/>
      <c r="H1296" s="38"/>
      <c r="I1296" s="32"/>
    </row>
    <row r="1297" spans="1:9" x14ac:dyDescent="0.25">
      <c r="A1297" s="26"/>
      <c r="B1297" s="9"/>
      <c r="C1297" s="44"/>
      <c r="D1297" s="27"/>
      <c r="E1297" s="30"/>
      <c r="F1297" s="28"/>
      <c r="G1297" s="43"/>
      <c r="H1297" s="38"/>
      <c r="I1297" s="32"/>
    </row>
    <row r="1298" spans="1:9" x14ac:dyDescent="0.25">
      <c r="A1298" s="21"/>
      <c r="B1298" s="22"/>
      <c r="C1298" s="80"/>
      <c r="D1298" s="24"/>
      <c r="E1298" s="87"/>
      <c r="F1298" s="25"/>
      <c r="G1298" s="88"/>
      <c r="H1298" s="146"/>
      <c r="I1298" s="89"/>
    </row>
    <row r="1299" spans="1:9" x14ac:dyDescent="0.25">
      <c r="B1299" s="10"/>
      <c r="C1299" s="40"/>
      <c r="D1299" s="85"/>
      <c r="E1299" s="34"/>
      <c r="F1299" s="9"/>
      <c r="G1299" s="29"/>
      <c r="H1299" s="20"/>
      <c r="I1299" s="86"/>
    </row>
    <row r="1300" spans="1:9" ht="15.75" thickBot="1" x14ac:dyDescent="0.3">
      <c r="E1300" s="53" t="s">
        <v>6</v>
      </c>
      <c r="G1300" s="57"/>
      <c r="H1300" s="142"/>
      <c r="I1300" s="54"/>
    </row>
    <row r="1301" spans="1:9" ht="15.75" thickTop="1" x14ac:dyDescent="0.25">
      <c r="E1301" s="58"/>
    </row>
    <row r="1302" spans="1:9" x14ac:dyDescent="0.25">
      <c r="A1302" s="59"/>
      <c r="B1302" s="60"/>
      <c r="C1302" s="61"/>
      <c r="D1302" s="62"/>
      <c r="E1302" s="63"/>
      <c r="F1302" s="60"/>
      <c r="G1302" s="60"/>
      <c r="H1302" s="143"/>
      <c r="I1302" s="62"/>
    </row>
    <row r="1303" spans="1:9" x14ac:dyDescent="0.25">
      <c r="A1303" s="64"/>
      <c r="B1303" s="65"/>
      <c r="C1303" s="66"/>
      <c r="D1303" s="67"/>
      <c r="E1303" s="68"/>
      <c r="F1303" s="69"/>
      <c r="G1303" s="70"/>
      <c r="H1303" s="144" t="s">
        <v>2</v>
      </c>
      <c r="I1303" s="71"/>
    </row>
    <row r="1304" spans="1:9" x14ac:dyDescent="0.25">
      <c r="A1304" s="72"/>
      <c r="B1304" s="73"/>
      <c r="C1304" s="74" t="s">
        <v>0</v>
      </c>
      <c r="D1304" s="75"/>
      <c r="E1304" s="76" t="s">
        <v>3</v>
      </c>
      <c r="F1304" s="77"/>
      <c r="G1304" s="78" t="s">
        <v>1</v>
      </c>
      <c r="H1304" s="145" t="s">
        <v>4</v>
      </c>
      <c r="I1304" s="79" t="s">
        <v>5</v>
      </c>
    </row>
    <row r="1305" spans="1:9" x14ac:dyDescent="0.25">
      <c r="A1305" s="26"/>
      <c r="B1305" s="10"/>
      <c r="C1305" s="40"/>
      <c r="D1305" s="41"/>
      <c r="E1305" s="34"/>
      <c r="F1305" s="28"/>
      <c r="G1305" s="29"/>
      <c r="I1305" s="35"/>
    </row>
    <row r="1306" spans="1:9" x14ac:dyDescent="0.25">
      <c r="A1306" s="26"/>
      <c r="B1306" s="9"/>
      <c r="C1306" s="33" t="s">
        <v>32</v>
      </c>
      <c r="D1306" s="27"/>
      <c r="E1306" s="30"/>
      <c r="F1306" s="28"/>
      <c r="G1306" s="43"/>
      <c r="H1306" s="38"/>
      <c r="I1306" s="32"/>
    </row>
    <row r="1307" spans="1:9" x14ac:dyDescent="0.25">
      <c r="A1307" s="26"/>
      <c r="B1307" s="9"/>
      <c r="C1307" s="37"/>
      <c r="D1307" s="27"/>
      <c r="E1307" s="30"/>
      <c r="F1307" s="28"/>
      <c r="G1307" s="43"/>
      <c r="H1307" s="38"/>
      <c r="I1307" s="32"/>
    </row>
    <row r="1308" spans="1:9" ht="30" x14ac:dyDescent="0.25">
      <c r="A1308" s="26"/>
      <c r="B1308" s="9"/>
      <c r="C1308" s="45" t="s">
        <v>49</v>
      </c>
      <c r="D1308" s="27"/>
      <c r="E1308" s="30"/>
      <c r="F1308" s="28"/>
      <c r="G1308" s="43"/>
      <c r="H1308" s="38"/>
      <c r="I1308" s="32"/>
    </row>
    <row r="1309" spans="1:9" x14ac:dyDescent="0.25">
      <c r="A1309" s="26"/>
      <c r="B1309" s="9"/>
      <c r="C1309" s="44"/>
      <c r="D1309" s="27"/>
      <c r="E1309" s="30"/>
      <c r="F1309" s="28"/>
      <c r="G1309" s="43"/>
      <c r="H1309" s="38"/>
      <c r="I1309" s="32"/>
    </row>
    <row r="1310" spans="1:9" ht="28.5" x14ac:dyDescent="0.25">
      <c r="A1310" s="26" t="s">
        <v>9</v>
      </c>
      <c r="B1310" s="9"/>
      <c r="C1310" s="44" t="s">
        <v>80</v>
      </c>
      <c r="D1310" s="27"/>
      <c r="E1310" s="30">
        <f>ROUND(55.85,0)</f>
        <v>56</v>
      </c>
      <c r="F1310" s="28"/>
      <c r="G1310" s="43" t="s">
        <v>20</v>
      </c>
      <c r="H1310" s="38"/>
      <c r="I1310" s="32"/>
    </row>
    <row r="1311" spans="1:9" x14ac:dyDescent="0.25">
      <c r="A1311" s="26"/>
      <c r="B1311" s="9"/>
      <c r="C1311" s="44"/>
      <c r="D1311" s="27"/>
      <c r="E1311" s="30"/>
      <c r="F1311" s="28"/>
      <c r="G1311" s="43"/>
      <c r="H1311" s="38"/>
      <c r="I1311" s="32"/>
    </row>
    <row r="1312" spans="1:9" ht="28.5" x14ac:dyDescent="0.25">
      <c r="A1312" s="26" t="s">
        <v>10</v>
      </c>
      <c r="B1312" s="9"/>
      <c r="C1312" s="44" t="s">
        <v>81</v>
      </c>
      <c r="D1312" s="27"/>
      <c r="E1312" s="30">
        <f>ROUND(17.65,0)</f>
        <v>18</v>
      </c>
      <c r="F1312" s="28"/>
      <c r="G1312" s="43" t="s">
        <v>20</v>
      </c>
      <c r="H1312" s="38"/>
      <c r="I1312" s="32"/>
    </row>
    <row r="1313" spans="1:9" x14ac:dyDescent="0.25">
      <c r="A1313" s="26"/>
      <c r="B1313" s="9"/>
      <c r="C1313" s="44"/>
      <c r="D1313" s="27"/>
      <c r="E1313" s="30"/>
      <c r="F1313" s="28"/>
      <c r="G1313" s="43"/>
      <c r="H1313" s="38"/>
      <c r="I1313" s="32"/>
    </row>
    <row r="1314" spans="1:9" ht="28.5" x14ac:dyDescent="0.25">
      <c r="A1314" s="26" t="s">
        <v>11</v>
      </c>
      <c r="B1314" s="9"/>
      <c r="C1314" s="44" t="s">
        <v>82</v>
      </c>
      <c r="D1314" s="27"/>
      <c r="E1314" s="30">
        <f>ROUND(11.87,0)</f>
        <v>12</v>
      </c>
      <c r="F1314" s="28"/>
      <c r="G1314" s="43" t="s">
        <v>20</v>
      </c>
      <c r="H1314" s="38"/>
      <c r="I1314" s="32"/>
    </row>
    <row r="1315" spans="1:9" x14ac:dyDescent="0.25">
      <c r="A1315" s="26"/>
      <c r="B1315" s="9"/>
      <c r="C1315" s="44"/>
      <c r="D1315" s="27"/>
      <c r="E1315" s="30"/>
      <c r="F1315" s="28"/>
      <c r="G1315" s="29"/>
      <c r="I1315" s="32"/>
    </row>
    <row r="1316" spans="1:9" ht="42.75" x14ac:dyDescent="0.25">
      <c r="A1316" s="26" t="s">
        <v>12</v>
      </c>
      <c r="B1316" s="9"/>
      <c r="C1316" s="44" t="s">
        <v>83</v>
      </c>
      <c r="D1316" s="27"/>
      <c r="E1316" s="30">
        <f>ROUND(129.19*2,0)</f>
        <v>258</v>
      </c>
      <c r="F1316" s="28"/>
      <c r="G1316" s="43" t="s">
        <v>20</v>
      </c>
      <c r="H1316" s="38"/>
      <c r="I1316" s="32"/>
    </row>
    <row r="1317" spans="1:9" x14ac:dyDescent="0.25">
      <c r="A1317" s="26"/>
      <c r="B1317" s="9"/>
      <c r="C1317" s="44"/>
      <c r="D1317" s="27"/>
      <c r="E1317" s="30"/>
      <c r="F1317" s="28"/>
      <c r="G1317" s="43"/>
      <c r="I1317" s="32"/>
    </row>
    <row r="1318" spans="1:9" ht="57" x14ac:dyDescent="0.25">
      <c r="A1318" s="26" t="s">
        <v>13</v>
      </c>
      <c r="B1318" s="9"/>
      <c r="C1318" s="44" t="s">
        <v>84</v>
      </c>
      <c r="D1318" s="27"/>
      <c r="E1318" s="30">
        <f>ROUND(129.19*2,0)</f>
        <v>258</v>
      </c>
      <c r="F1318" s="28"/>
      <c r="G1318" s="43" t="s">
        <v>20</v>
      </c>
      <c r="H1318" s="38"/>
      <c r="I1318" s="32"/>
    </row>
    <row r="1319" spans="1:9" x14ac:dyDescent="0.25">
      <c r="A1319" s="26"/>
      <c r="B1319" s="9"/>
      <c r="C1319" s="44"/>
      <c r="D1319" s="27"/>
      <c r="E1319" s="30"/>
      <c r="F1319" s="28"/>
      <c r="G1319" s="43"/>
      <c r="I1319" s="32"/>
    </row>
    <row r="1320" spans="1:9" ht="28.5" x14ac:dyDescent="0.25">
      <c r="A1320" s="26" t="s">
        <v>14</v>
      </c>
      <c r="B1320" s="9"/>
      <c r="C1320" s="44" t="s">
        <v>46</v>
      </c>
      <c r="D1320" s="27"/>
      <c r="E1320" s="30">
        <f>ROUND(146.39*2,0)</f>
        <v>293</v>
      </c>
      <c r="F1320" s="28"/>
      <c r="G1320" s="43" t="s">
        <v>20</v>
      </c>
      <c r="H1320" s="38"/>
      <c r="I1320" s="32"/>
    </row>
    <row r="1321" spans="1:9" x14ac:dyDescent="0.25">
      <c r="A1321" s="26"/>
      <c r="B1321" s="9"/>
      <c r="C1321" s="44"/>
      <c r="D1321" s="27"/>
      <c r="E1321" s="30"/>
      <c r="F1321" s="28"/>
      <c r="G1321" s="29"/>
      <c r="H1321" s="38"/>
      <c r="I1321" s="32"/>
    </row>
    <row r="1322" spans="1:9" ht="28.5" x14ac:dyDescent="0.25">
      <c r="A1322" s="26" t="s">
        <v>15</v>
      </c>
      <c r="B1322" s="9"/>
      <c r="C1322" s="44" t="s">
        <v>47</v>
      </c>
      <c r="D1322" s="27"/>
      <c r="E1322" s="30">
        <f>ROUND(55*2,0)</f>
        <v>110</v>
      </c>
      <c r="F1322" s="28"/>
      <c r="G1322" s="43" t="s">
        <v>20</v>
      </c>
      <c r="H1322" s="38"/>
      <c r="I1322" s="32"/>
    </row>
    <row r="1323" spans="1:9" x14ac:dyDescent="0.25">
      <c r="A1323" s="26"/>
      <c r="B1323" s="9"/>
      <c r="C1323" s="44"/>
      <c r="D1323" s="27"/>
      <c r="E1323" s="30"/>
      <c r="F1323" s="28"/>
      <c r="G1323" s="43"/>
      <c r="H1323" s="38"/>
      <c r="I1323" s="32"/>
    </row>
    <row r="1324" spans="1:9" ht="42.75" x14ac:dyDescent="0.25">
      <c r="A1324" s="26" t="s">
        <v>16</v>
      </c>
      <c r="B1324" s="9"/>
      <c r="C1324" s="44" t="s">
        <v>85</v>
      </c>
      <c r="D1324" s="27"/>
      <c r="E1324" s="30">
        <f>ROUND(17.6*2,0)</f>
        <v>35</v>
      </c>
      <c r="F1324" s="28"/>
      <c r="G1324" s="43" t="s">
        <v>20</v>
      </c>
      <c r="H1324" s="38"/>
      <c r="I1324" s="32"/>
    </row>
    <row r="1325" spans="1:9" x14ac:dyDescent="0.25">
      <c r="A1325" s="26"/>
      <c r="B1325" s="9"/>
      <c r="C1325" s="44"/>
      <c r="D1325" s="27"/>
      <c r="E1325" s="30"/>
      <c r="F1325" s="28"/>
      <c r="G1325" s="29"/>
      <c r="I1325" s="32"/>
    </row>
    <row r="1326" spans="1:9" ht="28.5" x14ac:dyDescent="0.25">
      <c r="A1326" s="26" t="s">
        <v>17</v>
      </c>
      <c r="B1326" s="10"/>
      <c r="C1326" s="44" t="s">
        <v>86</v>
      </c>
      <c r="D1326" s="27"/>
      <c r="E1326" s="30">
        <f>ROUND(105.47*1.32*2,0)</f>
        <v>278</v>
      </c>
      <c r="F1326" s="28"/>
      <c r="G1326" s="43" t="s">
        <v>21</v>
      </c>
      <c r="H1326" s="38"/>
      <c r="I1326" s="32"/>
    </row>
    <row r="1327" spans="1:9" x14ac:dyDescent="0.25">
      <c r="A1327" s="26"/>
      <c r="B1327" s="9"/>
      <c r="C1327" s="44"/>
      <c r="D1327" s="27"/>
      <c r="E1327" s="30"/>
      <c r="F1327" s="28"/>
      <c r="G1327" s="29"/>
      <c r="I1327" s="32"/>
    </row>
    <row r="1328" spans="1:9" ht="28.5" x14ac:dyDescent="0.25">
      <c r="A1328" s="26" t="s">
        <v>18</v>
      </c>
      <c r="B1328" s="9"/>
      <c r="C1328" s="44" t="s">
        <v>40</v>
      </c>
      <c r="D1328" s="27"/>
      <c r="E1328" s="30">
        <f>ROUND((28.39*0.6*2)*2,0)</f>
        <v>68</v>
      </c>
      <c r="F1328" s="28"/>
      <c r="G1328" s="29" t="s">
        <v>21</v>
      </c>
      <c r="H1328" s="38"/>
      <c r="I1328" s="32"/>
    </row>
    <row r="1329" spans="1:9" x14ac:dyDescent="0.25">
      <c r="A1329" s="26"/>
      <c r="B1329" s="9"/>
      <c r="C1329" s="44"/>
      <c r="D1329" s="27"/>
      <c r="E1329" s="30"/>
      <c r="F1329" s="28"/>
      <c r="G1329" s="29"/>
      <c r="H1329" s="38"/>
      <c r="I1329" s="32"/>
    </row>
    <row r="1330" spans="1:9" ht="28.5" x14ac:dyDescent="0.25">
      <c r="A1330" s="26" t="s">
        <v>19</v>
      </c>
      <c r="B1330" s="9"/>
      <c r="C1330" s="44" t="s">
        <v>87</v>
      </c>
      <c r="D1330" s="27"/>
      <c r="E1330" s="30">
        <f>ROUND(28.39*2,0)</f>
        <v>57</v>
      </c>
      <c r="F1330" s="28"/>
      <c r="G1330" s="29" t="s">
        <v>20</v>
      </c>
      <c r="H1330" s="38"/>
      <c r="I1330" s="32"/>
    </row>
    <row r="1331" spans="1:9" x14ac:dyDescent="0.25">
      <c r="A1331" s="26"/>
      <c r="B1331" s="9"/>
      <c r="C1331" s="44"/>
      <c r="D1331" s="27"/>
      <c r="E1331" s="30"/>
      <c r="F1331" s="28"/>
      <c r="G1331" s="29"/>
      <c r="H1331" s="38"/>
      <c r="I1331" s="32"/>
    </row>
    <row r="1332" spans="1:9" x14ac:dyDescent="0.25">
      <c r="A1332" s="26"/>
      <c r="B1332" s="9"/>
      <c r="C1332" s="44"/>
      <c r="D1332" s="27"/>
      <c r="E1332" s="30"/>
      <c r="F1332" s="28"/>
      <c r="G1332" s="29"/>
      <c r="H1332" s="38"/>
      <c r="I1332" s="32"/>
    </row>
    <row r="1333" spans="1:9" x14ac:dyDescent="0.25">
      <c r="A1333" s="26"/>
      <c r="B1333" s="9"/>
      <c r="C1333" s="44"/>
      <c r="D1333" s="27"/>
      <c r="E1333" s="30"/>
      <c r="F1333" s="28"/>
      <c r="G1333" s="29"/>
      <c r="H1333" s="38"/>
      <c r="I1333" s="32"/>
    </row>
    <row r="1334" spans="1:9" x14ac:dyDescent="0.25">
      <c r="A1334" s="26"/>
      <c r="B1334" s="9"/>
      <c r="C1334" s="44"/>
      <c r="D1334" s="27"/>
      <c r="E1334" s="30"/>
      <c r="F1334" s="28"/>
      <c r="G1334" s="29"/>
      <c r="H1334" s="38"/>
      <c r="I1334" s="32"/>
    </row>
    <row r="1335" spans="1:9" x14ac:dyDescent="0.25">
      <c r="A1335" s="26"/>
      <c r="B1335" s="9"/>
      <c r="C1335" s="44"/>
      <c r="D1335" s="27"/>
      <c r="E1335" s="30"/>
      <c r="F1335" s="28"/>
      <c r="G1335" s="29"/>
      <c r="H1335" s="38"/>
      <c r="I1335" s="32"/>
    </row>
    <row r="1336" spans="1:9" x14ac:dyDescent="0.25">
      <c r="A1336" s="26"/>
      <c r="B1336" s="9"/>
      <c r="C1336" s="44"/>
      <c r="D1336" s="27"/>
      <c r="E1336" s="30"/>
      <c r="F1336" s="28"/>
      <c r="G1336" s="29"/>
      <c r="H1336" s="38"/>
      <c r="I1336" s="32"/>
    </row>
    <row r="1337" spans="1:9" x14ac:dyDescent="0.25">
      <c r="A1337" s="26"/>
      <c r="B1337" s="9"/>
      <c r="C1337" s="44"/>
      <c r="D1337" s="27"/>
      <c r="E1337" s="30"/>
      <c r="F1337" s="28"/>
      <c r="G1337" s="29"/>
      <c r="H1337" s="38"/>
      <c r="I1337" s="32"/>
    </row>
    <row r="1338" spans="1:9" x14ac:dyDescent="0.25">
      <c r="A1338" s="26"/>
      <c r="B1338" s="9"/>
      <c r="C1338" s="44"/>
      <c r="D1338" s="27"/>
      <c r="E1338" s="30"/>
      <c r="F1338" s="28"/>
      <c r="G1338" s="29"/>
      <c r="H1338" s="38"/>
      <c r="I1338" s="32"/>
    </row>
    <row r="1339" spans="1:9" x14ac:dyDescent="0.25">
      <c r="A1339" s="26"/>
      <c r="B1339" s="9"/>
      <c r="C1339" s="44"/>
      <c r="D1339" s="27"/>
      <c r="E1339" s="30"/>
      <c r="F1339" s="28"/>
      <c r="G1339" s="29"/>
      <c r="H1339" s="38"/>
      <c r="I1339" s="32"/>
    </row>
    <row r="1340" spans="1:9" x14ac:dyDescent="0.25">
      <c r="A1340" s="26"/>
      <c r="B1340" s="9"/>
      <c r="C1340" s="44"/>
      <c r="D1340" s="27"/>
      <c r="E1340" s="30"/>
      <c r="F1340" s="28"/>
      <c r="G1340" s="29"/>
      <c r="H1340" s="38"/>
      <c r="I1340" s="32"/>
    </row>
    <row r="1341" spans="1:9" x14ac:dyDescent="0.25">
      <c r="A1341" s="26"/>
      <c r="B1341" s="9"/>
      <c r="C1341" s="44"/>
      <c r="D1341" s="27"/>
      <c r="E1341" s="30"/>
      <c r="F1341" s="28"/>
      <c r="G1341" s="29"/>
      <c r="I1341" s="32"/>
    </row>
    <row r="1342" spans="1:9" x14ac:dyDescent="0.25">
      <c r="A1342" s="21"/>
      <c r="B1342" s="16"/>
      <c r="C1342" s="17"/>
      <c r="D1342" s="46"/>
      <c r="E1342" s="18"/>
      <c r="F1342" s="47"/>
      <c r="G1342" s="56"/>
      <c r="H1342" s="19"/>
      <c r="I1342" s="48"/>
    </row>
    <row r="1343" spans="1:9" x14ac:dyDescent="0.25">
      <c r="C1343" s="52"/>
      <c r="D1343" s="49"/>
      <c r="G1343" s="29"/>
      <c r="H1343" s="28"/>
      <c r="I1343" s="51"/>
    </row>
    <row r="1344" spans="1:9" ht="15.75" thickBot="1" x14ac:dyDescent="0.3">
      <c r="E1344" s="53" t="s">
        <v>6</v>
      </c>
      <c r="G1344" s="57"/>
      <c r="H1344" s="142"/>
      <c r="I1344" s="54"/>
    </row>
    <row r="1345" spans="1:9" ht="15.75" thickTop="1" x14ac:dyDescent="0.25">
      <c r="E1345" s="58"/>
    </row>
    <row r="1346" spans="1:9" x14ac:dyDescent="0.25">
      <c r="A1346" s="59"/>
      <c r="B1346" s="60"/>
      <c r="C1346" s="61"/>
      <c r="D1346" s="62"/>
      <c r="E1346" s="63"/>
      <c r="F1346" s="60"/>
      <c r="G1346" s="60"/>
      <c r="H1346" s="143"/>
      <c r="I1346" s="62"/>
    </row>
    <row r="1347" spans="1:9" x14ac:dyDescent="0.25">
      <c r="A1347" s="64"/>
      <c r="B1347" s="65"/>
      <c r="C1347" s="66"/>
      <c r="D1347" s="67"/>
      <c r="E1347" s="68"/>
      <c r="F1347" s="69"/>
      <c r="G1347" s="70"/>
      <c r="H1347" s="144" t="s">
        <v>2</v>
      </c>
      <c r="I1347" s="71"/>
    </row>
    <row r="1348" spans="1:9" x14ac:dyDescent="0.25">
      <c r="A1348" s="72"/>
      <c r="B1348" s="73"/>
      <c r="C1348" s="74" t="s">
        <v>0</v>
      </c>
      <c r="D1348" s="75"/>
      <c r="E1348" s="76" t="s">
        <v>3</v>
      </c>
      <c r="F1348" s="77"/>
      <c r="G1348" s="78" t="s">
        <v>1</v>
      </c>
      <c r="H1348" s="145" t="s">
        <v>4</v>
      </c>
      <c r="I1348" s="79" t="s">
        <v>5</v>
      </c>
    </row>
    <row r="1349" spans="1:9" x14ac:dyDescent="0.25">
      <c r="A1349" s="26"/>
      <c r="B1349" s="10"/>
      <c r="C1349" s="40"/>
      <c r="D1349" s="41"/>
      <c r="E1349" s="34"/>
      <c r="F1349" s="28"/>
      <c r="G1349" s="29"/>
      <c r="I1349" s="35"/>
    </row>
    <row r="1350" spans="1:9" x14ac:dyDescent="0.25">
      <c r="A1350" s="26"/>
      <c r="B1350" s="9"/>
      <c r="C1350" s="33" t="s">
        <v>32</v>
      </c>
      <c r="D1350" s="27"/>
      <c r="E1350" s="30"/>
      <c r="F1350" s="28"/>
      <c r="G1350" s="29"/>
      <c r="I1350" s="32"/>
    </row>
    <row r="1351" spans="1:9" x14ac:dyDescent="0.25">
      <c r="A1351" s="26"/>
      <c r="B1351" s="9"/>
      <c r="C1351" s="37"/>
      <c r="D1351" s="27"/>
      <c r="E1351" s="30"/>
      <c r="F1351" s="28"/>
      <c r="G1351" s="29"/>
      <c r="I1351" s="32"/>
    </row>
    <row r="1352" spans="1:9" ht="30" x14ac:dyDescent="0.25">
      <c r="A1352" s="26"/>
      <c r="B1352" s="9"/>
      <c r="C1352" s="45" t="s">
        <v>49</v>
      </c>
      <c r="D1352" s="27"/>
      <c r="E1352" s="30"/>
      <c r="F1352" s="28"/>
      <c r="G1352" s="29"/>
      <c r="I1352" s="32"/>
    </row>
    <row r="1353" spans="1:9" x14ac:dyDescent="0.25">
      <c r="A1353" s="26"/>
      <c r="B1353" s="9"/>
      <c r="C1353" s="44"/>
      <c r="D1353" s="27"/>
      <c r="E1353" s="30"/>
      <c r="F1353" s="28"/>
      <c r="G1353" s="29"/>
      <c r="I1353" s="32"/>
    </row>
    <row r="1354" spans="1:9" ht="28.5" x14ac:dyDescent="0.25">
      <c r="A1354" s="26" t="s">
        <v>9</v>
      </c>
      <c r="B1354" s="9"/>
      <c r="C1354" s="37" t="s">
        <v>88</v>
      </c>
      <c r="D1354" s="27"/>
      <c r="E1354" s="30">
        <f>ROUND(8.03+4.52,0)</f>
        <v>13</v>
      </c>
      <c r="F1354" s="28"/>
      <c r="G1354" s="29" t="s">
        <v>21</v>
      </c>
      <c r="I1354" s="32"/>
    </row>
    <row r="1355" spans="1:9" x14ac:dyDescent="0.25">
      <c r="A1355" s="26"/>
      <c r="B1355" s="9"/>
      <c r="C1355" s="37"/>
      <c r="D1355" s="27"/>
      <c r="E1355" s="30"/>
      <c r="F1355" s="28"/>
      <c r="G1355" s="29"/>
      <c r="I1355" s="32"/>
    </row>
    <row r="1356" spans="1:9" ht="28.5" x14ac:dyDescent="0.25">
      <c r="A1356" s="26" t="s">
        <v>10</v>
      </c>
      <c r="B1356" s="9"/>
      <c r="C1356" s="37" t="s">
        <v>89</v>
      </c>
      <c r="D1356" s="27"/>
      <c r="E1356" s="30">
        <f>ROUND(7.98+13.03,0)</f>
        <v>21</v>
      </c>
      <c r="F1356" s="28"/>
      <c r="G1356" s="29" t="s">
        <v>21</v>
      </c>
      <c r="I1356" s="32"/>
    </row>
    <row r="1357" spans="1:9" x14ac:dyDescent="0.25">
      <c r="A1357" s="26"/>
      <c r="B1357" s="9"/>
      <c r="C1357" s="37"/>
      <c r="D1357" s="27"/>
      <c r="E1357" s="30"/>
      <c r="F1357" s="28"/>
      <c r="G1357" s="29"/>
      <c r="I1357" s="32"/>
    </row>
    <row r="1358" spans="1:9" ht="28.5" x14ac:dyDescent="0.25">
      <c r="A1358" s="26" t="s">
        <v>11</v>
      </c>
      <c r="B1358" s="9"/>
      <c r="C1358" s="37" t="s">
        <v>90</v>
      </c>
      <c r="D1358" s="27"/>
      <c r="E1358" s="30">
        <f>ROUND(7.98+13.03,0)</f>
        <v>21</v>
      </c>
      <c r="F1358" s="28"/>
      <c r="G1358" s="29" t="s">
        <v>21</v>
      </c>
      <c r="H1358" s="38"/>
      <c r="I1358" s="32"/>
    </row>
    <row r="1359" spans="1:9" x14ac:dyDescent="0.25">
      <c r="A1359" s="26"/>
      <c r="B1359" s="9"/>
      <c r="C1359" s="37"/>
      <c r="D1359" s="27"/>
      <c r="E1359" s="30"/>
      <c r="F1359" s="28"/>
      <c r="G1359" s="29"/>
      <c r="H1359" s="38"/>
      <c r="I1359" s="32"/>
    </row>
    <row r="1360" spans="1:9" ht="28.5" x14ac:dyDescent="0.25">
      <c r="A1360" s="26" t="s">
        <v>12</v>
      </c>
      <c r="B1360" s="9"/>
      <c r="C1360" s="37" t="s">
        <v>91</v>
      </c>
      <c r="D1360" s="27"/>
      <c r="E1360" s="30">
        <f>ROUND(7.98+11.41,0)</f>
        <v>19</v>
      </c>
      <c r="F1360" s="28"/>
      <c r="G1360" s="29" t="s">
        <v>21</v>
      </c>
      <c r="H1360" s="38"/>
      <c r="I1360" s="32"/>
    </row>
    <row r="1361" spans="1:9" x14ac:dyDescent="0.25">
      <c r="A1361" s="26"/>
      <c r="B1361" s="9"/>
      <c r="C1361" s="44"/>
      <c r="D1361" s="27"/>
      <c r="E1361" s="30"/>
      <c r="F1361" s="28"/>
      <c r="G1361" s="43"/>
      <c r="H1361" s="38"/>
      <c r="I1361" s="32"/>
    </row>
    <row r="1362" spans="1:9" ht="28.5" x14ac:dyDescent="0.25">
      <c r="A1362" s="26" t="s">
        <v>13</v>
      </c>
      <c r="B1362" s="9"/>
      <c r="C1362" s="44" t="s">
        <v>92</v>
      </c>
      <c r="D1362" s="27"/>
      <c r="E1362" s="30">
        <f>ROUND(21*1.2,0)</f>
        <v>25</v>
      </c>
      <c r="F1362" s="28"/>
      <c r="G1362" s="29" t="s">
        <v>20</v>
      </c>
      <c r="H1362" s="38"/>
      <c r="I1362" s="32"/>
    </row>
    <row r="1363" spans="1:9" x14ac:dyDescent="0.25">
      <c r="A1363" s="26"/>
      <c r="B1363" s="9"/>
      <c r="C1363" s="44"/>
      <c r="D1363" s="27"/>
      <c r="E1363" s="30"/>
      <c r="F1363" s="28"/>
      <c r="G1363" s="29"/>
      <c r="H1363" s="38"/>
      <c r="I1363" s="32"/>
    </row>
    <row r="1364" spans="1:9" ht="28.5" x14ac:dyDescent="0.25">
      <c r="A1364" s="26" t="s">
        <v>14</v>
      </c>
      <c r="B1364" s="9"/>
      <c r="C1364" s="44" t="s">
        <v>93</v>
      </c>
      <c r="D1364" s="27"/>
      <c r="E1364" s="30">
        <f>ROUND(19*1.2,0)</f>
        <v>23</v>
      </c>
      <c r="F1364" s="28"/>
      <c r="G1364" s="29" t="s">
        <v>20</v>
      </c>
      <c r="H1364" s="38"/>
      <c r="I1364" s="32"/>
    </row>
    <row r="1365" spans="1:9" x14ac:dyDescent="0.25">
      <c r="A1365" s="26"/>
      <c r="B1365" s="9"/>
      <c r="C1365" s="44"/>
      <c r="D1365" s="27"/>
      <c r="E1365" s="30"/>
      <c r="F1365" s="28"/>
      <c r="G1365" s="29"/>
      <c r="H1365" s="38"/>
      <c r="I1365" s="32"/>
    </row>
    <row r="1366" spans="1:9" ht="28.5" x14ac:dyDescent="0.25">
      <c r="A1366" s="26" t="s">
        <v>15</v>
      </c>
      <c r="B1366" s="9"/>
      <c r="C1366" s="44" t="s">
        <v>94</v>
      </c>
      <c r="D1366" s="27"/>
      <c r="E1366" s="30">
        <f>ROUND(19*1.2,0)</f>
        <v>23</v>
      </c>
      <c r="F1366" s="28"/>
      <c r="G1366" s="29" t="s">
        <v>20</v>
      </c>
      <c r="H1366" s="38"/>
      <c r="I1366" s="32"/>
    </row>
    <row r="1367" spans="1:9" x14ac:dyDescent="0.25">
      <c r="A1367" s="26"/>
      <c r="B1367" s="9"/>
      <c r="C1367" s="44"/>
      <c r="D1367" s="27"/>
      <c r="E1367" s="30"/>
      <c r="F1367" s="28"/>
      <c r="G1367" s="29"/>
      <c r="H1367" s="38"/>
      <c r="I1367" s="32"/>
    </row>
    <row r="1368" spans="1:9" ht="28.5" x14ac:dyDescent="0.25">
      <c r="A1368" s="26" t="s">
        <v>16</v>
      </c>
      <c r="B1368" s="9"/>
      <c r="C1368" s="44" t="s">
        <v>95</v>
      </c>
      <c r="D1368" s="27"/>
      <c r="E1368" s="30">
        <f>ROUND(19*1.2,0)</f>
        <v>23</v>
      </c>
      <c r="F1368" s="28"/>
      <c r="G1368" s="29" t="s">
        <v>20</v>
      </c>
      <c r="H1368" s="38"/>
      <c r="I1368" s="32"/>
    </row>
    <row r="1369" spans="1:9" x14ac:dyDescent="0.25">
      <c r="A1369" s="26"/>
      <c r="B1369" s="9"/>
      <c r="C1369" s="37"/>
      <c r="D1369" s="27"/>
      <c r="E1369" s="30"/>
      <c r="F1369" s="28"/>
      <c r="G1369" s="29"/>
      <c r="H1369" s="38"/>
      <c r="I1369" s="32"/>
    </row>
    <row r="1370" spans="1:9" ht="28.5" x14ac:dyDescent="0.25">
      <c r="A1370" s="26" t="s">
        <v>17</v>
      </c>
      <c r="B1370" s="9"/>
      <c r="C1370" s="37" t="s">
        <v>96</v>
      </c>
      <c r="D1370" s="27"/>
      <c r="E1370" s="30">
        <f>ROUND(1.56*2,0)</f>
        <v>3</v>
      </c>
      <c r="F1370" s="28"/>
      <c r="G1370" s="29" t="s">
        <v>21</v>
      </c>
      <c r="H1370" s="38"/>
      <c r="I1370" s="32"/>
    </row>
    <row r="1371" spans="1:9" x14ac:dyDescent="0.25">
      <c r="A1371" s="26"/>
      <c r="B1371" s="9"/>
      <c r="C1371" s="37"/>
      <c r="D1371" s="27"/>
      <c r="E1371" s="30"/>
      <c r="F1371" s="28"/>
      <c r="G1371" s="29"/>
      <c r="H1371" s="38"/>
      <c r="I1371" s="32"/>
    </row>
    <row r="1372" spans="1:9" ht="28.5" x14ac:dyDescent="0.25">
      <c r="A1372" s="26" t="s">
        <v>18</v>
      </c>
      <c r="B1372" s="9"/>
      <c r="C1372" s="37" t="s">
        <v>97</v>
      </c>
      <c r="D1372" s="27"/>
      <c r="E1372" s="30">
        <f>ROUND(1.4*2,0)</f>
        <v>3</v>
      </c>
      <c r="F1372" s="28"/>
      <c r="G1372" s="29" t="s">
        <v>21</v>
      </c>
      <c r="H1372" s="38"/>
      <c r="I1372" s="32"/>
    </row>
    <row r="1373" spans="1:9" x14ac:dyDescent="0.25">
      <c r="A1373" s="26"/>
      <c r="B1373" s="9"/>
      <c r="C1373" s="37"/>
      <c r="D1373" s="27"/>
      <c r="E1373" s="30"/>
      <c r="F1373" s="28"/>
      <c r="G1373" s="29"/>
      <c r="I1373" s="32"/>
    </row>
    <row r="1374" spans="1:9" ht="28.5" x14ac:dyDescent="0.25">
      <c r="A1374" s="26" t="s">
        <v>19</v>
      </c>
      <c r="B1374" s="9"/>
      <c r="C1374" s="37" t="s">
        <v>98</v>
      </c>
      <c r="D1374" s="27"/>
      <c r="E1374" s="30">
        <f>ROUND(1.29*2,0)</f>
        <v>3</v>
      </c>
      <c r="F1374" s="28"/>
      <c r="G1374" s="29" t="s">
        <v>21</v>
      </c>
      <c r="H1374" s="38"/>
      <c r="I1374" s="32"/>
    </row>
    <row r="1375" spans="1:9" x14ac:dyDescent="0.25">
      <c r="A1375" s="26"/>
      <c r="B1375" s="9"/>
      <c r="C1375" s="44"/>
      <c r="D1375" s="27"/>
      <c r="E1375" s="30"/>
      <c r="F1375" s="28"/>
      <c r="G1375" s="29"/>
      <c r="I1375" s="32"/>
    </row>
    <row r="1376" spans="1:9" ht="28.5" x14ac:dyDescent="0.25">
      <c r="A1376" s="26" t="s">
        <v>26</v>
      </c>
      <c r="B1376" s="9"/>
      <c r="C1376" s="37" t="s">
        <v>99</v>
      </c>
      <c r="D1376" s="27"/>
      <c r="E1376" s="30">
        <f>ROUND(1.2*2,0)</f>
        <v>2</v>
      </c>
      <c r="F1376" s="28"/>
      <c r="G1376" s="29" t="s">
        <v>21</v>
      </c>
      <c r="H1376" s="38"/>
      <c r="I1376" s="32"/>
    </row>
    <row r="1377" spans="1:9" x14ac:dyDescent="0.25">
      <c r="A1377" s="26"/>
      <c r="B1377" s="9"/>
      <c r="C1377" s="44"/>
      <c r="D1377" s="27"/>
      <c r="E1377" s="30"/>
      <c r="F1377" s="28"/>
      <c r="G1377" s="29"/>
      <c r="I1377" s="32"/>
    </row>
    <row r="1378" spans="1:9" ht="28.5" x14ac:dyDescent="0.25">
      <c r="A1378" s="26" t="s">
        <v>27</v>
      </c>
      <c r="B1378" s="9"/>
      <c r="C1378" s="44" t="s">
        <v>100</v>
      </c>
      <c r="D1378" s="27"/>
      <c r="E1378" s="30">
        <f>ROUND(1,0)</f>
        <v>1</v>
      </c>
      <c r="F1378" s="28"/>
      <c r="G1378" s="43" t="s">
        <v>20</v>
      </c>
      <c r="H1378" s="38"/>
      <c r="I1378" s="32"/>
    </row>
    <row r="1379" spans="1:9" x14ac:dyDescent="0.25">
      <c r="A1379" s="26"/>
      <c r="B1379" s="9"/>
      <c r="C1379" s="44"/>
      <c r="D1379" s="27"/>
      <c r="E1379" s="30"/>
      <c r="F1379" s="28"/>
      <c r="G1379" s="43"/>
      <c r="H1379" s="38"/>
      <c r="I1379" s="32"/>
    </row>
    <row r="1380" spans="1:9" ht="28.5" x14ac:dyDescent="0.25">
      <c r="A1380" s="26" t="s">
        <v>28</v>
      </c>
      <c r="B1380" s="9"/>
      <c r="C1380" s="44" t="s">
        <v>101</v>
      </c>
      <c r="D1380" s="27"/>
      <c r="E1380" s="30">
        <f>ROUND(0.33+0.33+3.7,0)</f>
        <v>4</v>
      </c>
      <c r="F1380" s="28"/>
      <c r="G1380" s="43" t="s">
        <v>20</v>
      </c>
      <c r="H1380" s="38"/>
      <c r="I1380" s="32"/>
    </row>
    <row r="1381" spans="1:9" x14ac:dyDescent="0.25">
      <c r="A1381" s="26"/>
      <c r="B1381" s="9"/>
      <c r="C1381" s="44"/>
      <c r="D1381" s="27"/>
      <c r="E1381" s="30"/>
      <c r="F1381" s="28"/>
      <c r="G1381" s="43"/>
      <c r="H1381" s="38"/>
      <c r="I1381" s="32"/>
    </row>
    <row r="1382" spans="1:9" ht="28.5" x14ac:dyDescent="0.25">
      <c r="A1382" s="26" t="s">
        <v>29</v>
      </c>
      <c r="B1382" s="9"/>
      <c r="C1382" s="44" t="s">
        <v>102</v>
      </c>
      <c r="D1382" s="27"/>
      <c r="E1382" s="30">
        <f>ROUND(0.33+0.33+0.4+0.15,0)</f>
        <v>1</v>
      </c>
      <c r="F1382" s="28"/>
      <c r="G1382" s="43" t="s">
        <v>20</v>
      </c>
      <c r="H1382" s="38"/>
      <c r="I1382" s="32"/>
    </row>
    <row r="1383" spans="1:9" ht="8.4499999999999993" customHeight="1" x14ac:dyDescent="0.25">
      <c r="A1383" s="26"/>
      <c r="B1383" s="9"/>
      <c r="C1383" s="44"/>
      <c r="D1383" s="27"/>
      <c r="E1383" s="30"/>
      <c r="F1383" s="28"/>
      <c r="G1383" s="29"/>
      <c r="H1383" s="38"/>
      <c r="I1383" s="32"/>
    </row>
    <row r="1384" spans="1:9" ht="28.5" x14ac:dyDescent="0.25">
      <c r="A1384" s="26" t="s">
        <v>30</v>
      </c>
      <c r="B1384" s="9"/>
      <c r="C1384" s="44" t="s">
        <v>103</v>
      </c>
      <c r="D1384" s="27"/>
      <c r="E1384" s="30">
        <f>ROUND(0.33+0.33+0.15+0.15,0)</f>
        <v>1</v>
      </c>
      <c r="F1384" s="28"/>
      <c r="G1384" s="43" t="s">
        <v>20</v>
      </c>
      <c r="H1384" s="38"/>
      <c r="I1384" s="32"/>
    </row>
    <row r="1385" spans="1:9" ht="5.45" customHeight="1" x14ac:dyDescent="0.25">
      <c r="A1385" s="21"/>
      <c r="B1385" s="16"/>
      <c r="C1385" s="17"/>
      <c r="D1385" s="46"/>
      <c r="E1385" s="18"/>
      <c r="F1385" s="47"/>
      <c r="G1385" s="56"/>
      <c r="H1385" s="19"/>
      <c r="I1385" s="48"/>
    </row>
    <row r="1386" spans="1:9" x14ac:dyDescent="0.25">
      <c r="C1386" s="52"/>
      <c r="D1386" s="49"/>
      <c r="G1386" s="29"/>
      <c r="H1386" s="28"/>
      <c r="I1386" s="51"/>
    </row>
    <row r="1387" spans="1:9" ht="15.75" thickBot="1" x14ac:dyDescent="0.3">
      <c r="E1387" s="53" t="s">
        <v>6</v>
      </c>
      <c r="G1387" s="57"/>
      <c r="H1387" s="142"/>
      <c r="I1387" s="54"/>
    </row>
    <row r="1388" spans="1:9" ht="15.75" thickTop="1" x14ac:dyDescent="0.25">
      <c r="E1388" s="58"/>
    </row>
    <row r="1389" spans="1:9" x14ac:dyDescent="0.25">
      <c r="A1389" s="59"/>
      <c r="B1389" s="60"/>
      <c r="C1389" s="61"/>
      <c r="D1389" s="62"/>
      <c r="E1389" s="63"/>
      <c r="F1389" s="60"/>
      <c r="G1389" s="60"/>
      <c r="H1389" s="143"/>
      <c r="I1389" s="62"/>
    </row>
    <row r="1390" spans="1:9" x14ac:dyDescent="0.25">
      <c r="A1390" s="64"/>
      <c r="B1390" s="65"/>
      <c r="C1390" s="66"/>
      <c r="D1390" s="67"/>
      <c r="E1390" s="68"/>
      <c r="F1390" s="69"/>
      <c r="G1390" s="70"/>
      <c r="H1390" s="144" t="s">
        <v>2</v>
      </c>
      <c r="I1390" s="71"/>
    </row>
    <row r="1391" spans="1:9" x14ac:dyDescent="0.25">
      <c r="A1391" s="72"/>
      <c r="B1391" s="73"/>
      <c r="C1391" s="74" t="s">
        <v>0</v>
      </c>
      <c r="D1391" s="75"/>
      <c r="E1391" s="76" t="s">
        <v>3</v>
      </c>
      <c r="F1391" s="77"/>
      <c r="G1391" s="78" t="s">
        <v>1</v>
      </c>
      <c r="H1391" s="145" t="s">
        <v>4</v>
      </c>
      <c r="I1391" s="79" t="s">
        <v>5</v>
      </c>
    </row>
    <row r="1392" spans="1:9" x14ac:dyDescent="0.25">
      <c r="A1392" s="26"/>
      <c r="B1392" s="10"/>
      <c r="C1392" s="40"/>
      <c r="D1392" s="41"/>
      <c r="E1392" s="34"/>
      <c r="F1392" s="28"/>
      <c r="G1392" s="29"/>
      <c r="I1392" s="35"/>
    </row>
    <row r="1393" spans="1:9" x14ac:dyDescent="0.25">
      <c r="A1393" s="26"/>
      <c r="B1393" s="9"/>
      <c r="C1393" s="33" t="s">
        <v>32</v>
      </c>
      <c r="D1393" s="27"/>
      <c r="E1393" s="30"/>
      <c r="F1393" s="28"/>
      <c r="G1393" s="29"/>
      <c r="I1393" s="32"/>
    </row>
    <row r="1394" spans="1:9" x14ac:dyDescent="0.25">
      <c r="A1394" s="26"/>
      <c r="B1394" s="9"/>
      <c r="C1394" s="37"/>
      <c r="D1394" s="27"/>
      <c r="E1394" s="30"/>
      <c r="F1394" s="28"/>
      <c r="G1394" s="29"/>
      <c r="I1394" s="32"/>
    </row>
    <row r="1395" spans="1:9" ht="30" x14ac:dyDescent="0.25">
      <c r="A1395" s="26"/>
      <c r="B1395" s="9"/>
      <c r="C1395" s="45" t="s">
        <v>49</v>
      </c>
      <c r="D1395" s="27"/>
      <c r="E1395" s="30"/>
      <c r="F1395" s="28"/>
      <c r="G1395" s="29"/>
      <c r="I1395" s="32"/>
    </row>
    <row r="1396" spans="1:9" x14ac:dyDescent="0.25">
      <c r="A1396" s="26"/>
      <c r="B1396" s="9"/>
      <c r="C1396" s="44"/>
      <c r="D1396" s="27"/>
      <c r="E1396" s="30"/>
      <c r="F1396" s="28"/>
      <c r="G1396" s="29"/>
      <c r="I1396" s="32"/>
    </row>
    <row r="1397" spans="1:9" ht="28.5" x14ac:dyDescent="0.25">
      <c r="A1397" s="26" t="s">
        <v>9</v>
      </c>
      <c r="B1397" s="9"/>
      <c r="C1397" s="44" t="s">
        <v>104</v>
      </c>
      <c r="D1397" s="27"/>
      <c r="E1397" s="30">
        <f>ROUND(42.86+20.8,0)</f>
        <v>64</v>
      </c>
      <c r="F1397" s="28"/>
      <c r="G1397" s="29" t="s">
        <v>20</v>
      </c>
      <c r="H1397" s="38"/>
      <c r="I1397" s="32"/>
    </row>
    <row r="1398" spans="1:9" x14ac:dyDescent="0.25">
      <c r="A1398" s="26"/>
      <c r="B1398" s="9"/>
      <c r="C1398" s="37"/>
      <c r="D1398" s="27"/>
      <c r="E1398" s="30"/>
      <c r="F1398" s="28"/>
      <c r="G1398" s="29"/>
      <c r="H1398" s="38"/>
      <c r="I1398" s="32"/>
    </row>
    <row r="1399" spans="1:9" ht="28.5" x14ac:dyDescent="0.25">
      <c r="A1399" s="26" t="s">
        <v>10</v>
      </c>
      <c r="B1399" s="9"/>
      <c r="C1399" s="44" t="s">
        <v>36</v>
      </c>
      <c r="D1399" s="27"/>
      <c r="E1399" s="30">
        <f>ROUND(90.08+53.46,0)</f>
        <v>144</v>
      </c>
      <c r="F1399" s="28"/>
      <c r="G1399" s="29" t="s">
        <v>21</v>
      </c>
      <c r="H1399" s="38"/>
      <c r="I1399" s="32"/>
    </row>
    <row r="1400" spans="1:9" x14ac:dyDescent="0.25">
      <c r="A1400" s="26"/>
      <c r="B1400" s="9"/>
      <c r="C1400" s="44"/>
      <c r="D1400" s="27"/>
      <c r="E1400" s="30"/>
      <c r="F1400" s="28"/>
      <c r="G1400" s="29"/>
      <c r="H1400" s="38"/>
      <c r="I1400" s="32"/>
    </row>
    <row r="1401" spans="1:9" ht="28.5" x14ac:dyDescent="0.25">
      <c r="A1401" s="26" t="s">
        <v>11</v>
      </c>
      <c r="B1401" s="9"/>
      <c r="C1401" s="44" t="s">
        <v>105</v>
      </c>
      <c r="D1401" s="27"/>
      <c r="E1401" s="30">
        <f>ROUND(29.2,0)</f>
        <v>29</v>
      </c>
      <c r="F1401" s="28"/>
      <c r="G1401" s="29" t="s">
        <v>20</v>
      </c>
      <c r="H1401" s="38"/>
      <c r="I1401" s="32"/>
    </row>
    <row r="1402" spans="1:9" x14ac:dyDescent="0.25">
      <c r="A1402" s="26"/>
      <c r="B1402" s="9"/>
      <c r="C1402" s="37"/>
      <c r="D1402" s="27"/>
      <c r="E1402" s="30"/>
      <c r="F1402" s="28"/>
      <c r="G1402" s="29"/>
      <c r="H1402" s="38"/>
      <c r="I1402" s="32"/>
    </row>
    <row r="1403" spans="1:9" x14ac:dyDescent="0.25">
      <c r="A1403" s="26" t="s">
        <v>12</v>
      </c>
      <c r="B1403" s="9"/>
      <c r="C1403" s="44" t="s">
        <v>37</v>
      </c>
      <c r="D1403" s="27"/>
      <c r="E1403" s="30">
        <f>ROUND(17.48,0)</f>
        <v>17</v>
      </c>
      <c r="F1403" s="28"/>
      <c r="G1403" s="29" t="s">
        <v>21</v>
      </c>
      <c r="H1403" s="38"/>
      <c r="I1403" s="32"/>
    </row>
    <row r="1404" spans="1:9" x14ac:dyDescent="0.25">
      <c r="A1404" s="26"/>
      <c r="B1404" s="9"/>
      <c r="C1404" s="44"/>
      <c r="D1404" s="27"/>
      <c r="E1404" s="30"/>
      <c r="F1404" s="28"/>
      <c r="G1404" s="29"/>
      <c r="H1404" s="38"/>
      <c r="I1404" s="32"/>
    </row>
    <row r="1405" spans="1:9" ht="28.5" x14ac:dyDescent="0.25">
      <c r="A1405" s="26" t="s">
        <v>13</v>
      </c>
      <c r="B1405" s="9"/>
      <c r="C1405" s="44" t="s">
        <v>106</v>
      </c>
      <c r="D1405" s="27"/>
      <c r="E1405" s="30">
        <f>ROUND(3.28+5.34,0)</f>
        <v>9</v>
      </c>
      <c r="F1405" s="28"/>
      <c r="G1405" s="29" t="s">
        <v>21</v>
      </c>
      <c r="H1405" s="38"/>
      <c r="I1405" s="32"/>
    </row>
    <row r="1406" spans="1:9" x14ac:dyDescent="0.25">
      <c r="A1406" s="26"/>
      <c r="B1406" s="9"/>
      <c r="C1406" s="44"/>
      <c r="D1406" s="27"/>
      <c r="E1406" s="30"/>
      <c r="F1406" s="28"/>
      <c r="G1406" s="29"/>
      <c r="H1406" s="38"/>
      <c r="I1406" s="32"/>
    </row>
    <row r="1407" spans="1:9" ht="28.5" x14ac:dyDescent="0.25">
      <c r="A1407" s="26" t="s">
        <v>14</v>
      </c>
      <c r="B1407" s="9"/>
      <c r="C1407" s="44" t="s">
        <v>107</v>
      </c>
      <c r="D1407" s="27"/>
      <c r="E1407" s="30">
        <f>ROUND((8*0.8*2)+(8*1.3*2),0)</f>
        <v>34</v>
      </c>
      <c r="F1407" s="28"/>
      <c r="G1407" s="29" t="s">
        <v>20</v>
      </c>
      <c r="H1407" s="38"/>
      <c r="I1407" s="32"/>
    </row>
    <row r="1408" spans="1:9" x14ac:dyDescent="0.25">
      <c r="A1408" s="26"/>
      <c r="B1408" s="9"/>
      <c r="C1408" s="37"/>
      <c r="D1408" s="27"/>
      <c r="E1408" s="30"/>
      <c r="F1408" s="28"/>
      <c r="G1408" s="29"/>
      <c r="H1408" s="38"/>
      <c r="I1408" s="32"/>
    </row>
    <row r="1409" spans="1:9" ht="30" x14ac:dyDescent="0.25">
      <c r="A1409" s="26"/>
      <c r="B1409" s="9"/>
      <c r="C1409" s="45" t="s">
        <v>108</v>
      </c>
      <c r="D1409" s="27"/>
      <c r="E1409" s="30"/>
      <c r="F1409" s="28"/>
      <c r="G1409" s="29"/>
      <c r="H1409" s="38"/>
      <c r="I1409" s="32"/>
    </row>
    <row r="1410" spans="1:9" x14ac:dyDescent="0.25">
      <c r="A1410" s="26"/>
      <c r="B1410" s="9"/>
      <c r="C1410" s="44"/>
      <c r="D1410" s="27"/>
      <c r="E1410" s="30"/>
      <c r="F1410" s="28"/>
      <c r="G1410" s="29"/>
      <c r="H1410" s="38"/>
      <c r="I1410" s="32"/>
    </row>
    <row r="1411" spans="1:9" x14ac:dyDescent="0.25">
      <c r="A1411" s="26" t="s">
        <v>15</v>
      </c>
      <c r="B1411" s="9"/>
      <c r="C1411" s="37" t="s">
        <v>109</v>
      </c>
      <c r="D1411" s="27"/>
      <c r="E1411" s="30">
        <f>ROUND(1463.91,0)</f>
        <v>1464</v>
      </c>
      <c r="F1411" s="28"/>
      <c r="G1411" s="29" t="s">
        <v>21</v>
      </c>
      <c r="H1411" s="38"/>
      <c r="I1411" s="32"/>
    </row>
    <row r="1412" spans="1:9" x14ac:dyDescent="0.25">
      <c r="A1412" s="26"/>
      <c r="B1412" s="9"/>
      <c r="C1412" s="44"/>
      <c r="D1412" s="27"/>
      <c r="E1412" s="30"/>
      <c r="F1412" s="28"/>
      <c r="G1412" s="43"/>
      <c r="H1412" s="38"/>
      <c r="I1412" s="32"/>
    </row>
    <row r="1413" spans="1:9" ht="28.5" x14ac:dyDescent="0.25">
      <c r="A1413" s="26" t="s">
        <v>16</v>
      </c>
      <c r="B1413" s="9"/>
      <c r="C1413" s="44" t="s">
        <v>110</v>
      </c>
      <c r="D1413" s="29"/>
      <c r="E1413" s="30">
        <f>ROUND(185.9*3.3,0)</f>
        <v>613</v>
      </c>
      <c r="F1413" s="31"/>
      <c r="G1413" s="29" t="s">
        <v>21</v>
      </c>
      <c r="H1413" s="38"/>
      <c r="I1413" s="32"/>
    </row>
    <row r="1414" spans="1:9" x14ac:dyDescent="0.25">
      <c r="A1414" s="26"/>
      <c r="B1414" s="9"/>
      <c r="C1414" s="44"/>
      <c r="D1414" s="27"/>
      <c r="E1414" s="30"/>
      <c r="F1414" s="28"/>
      <c r="G1414" s="29"/>
      <c r="H1414" s="38"/>
      <c r="I1414" s="32"/>
    </row>
    <row r="1415" spans="1:9" x14ac:dyDescent="0.25">
      <c r="A1415" s="26" t="s">
        <v>17</v>
      </c>
      <c r="B1415" s="9"/>
      <c r="C1415" s="39" t="s">
        <v>35</v>
      </c>
      <c r="D1415" s="29"/>
      <c r="E1415" s="30">
        <f>ROUND(264.74*3.3,0)</f>
        <v>874</v>
      </c>
      <c r="F1415" s="31"/>
      <c r="G1415" s="29" t="s">
        <v>21</v>
      </c>
      <c r="H1415" s="38"/>
      <c r="I1415" s="32"/>
    </row>
    <row r="1416" spans="1:9" x14ac:dyDescent="0.25">
      <c r="A1416" s="26"/>
      <c r="B1416" s="9"/>
      <c r="C1416" s="44"/>
      <c r="D1416" s="27"/>
      <c r="E1416" s="30"/>
      <c r="F1416" s="28"/>
      <c r="G1416" s="43"/>
      <c r="H1416" s="38"/>
      <c r="I1416" s="32"/>
    </row>
    <row r="1417" spans="1:9" ht="28.5" x14ac:dyDescent="0.25">
      <c r="A1417" s="26" t="s">
        <v>18</v>
      </c>
      <c r="B1417" s="9"/>
      <c r="C1417" s="44" t="s">
        <v>111</v>
      </c>
      <c r="D1417" s="27"/>
      <c r="E1417" s="30">
        <f>ROUND((45.22*0.8)+(22.76*0.9)+(125.98*0.95),0)</f>
        <v>176</v>
      </c>
      <c r="F1417" s="28"/>
      <c r="G1417" s="29" t="s">
        <v>21</v>
      </c>
      <c r="H1417" s="38"/>
      <c r="I1417" s="32"/>
    </row>
    <row r="1418" spans="1:9" x14ac:dyDescent="0.25">
      <c r="A1418" s="26"/>
      <c r="B1418" s="9"/>
      <c r="C1418" s="39"/>
      <c r="D1418" s="27"/>
      <c r="E1418" s="30"/>
      <c r="F1418" s="28"/>
      <c r="G1418" s="29"/>
      <c r="I1418" s="32"/>
    </row>
    <row r="1419" spans="1:9" x14ac:dyDescent="0.25">
      <c r="A1419" s="26" t="s">
        <v>19</v>
      </c>
      <c r="B1419" s="9"/>
      <c r="C1419" s="44" t="s">
        <v>55</v>
      </c>
      <c r="D1419" s="29"/>
      <c r="E1419" s="30">
        <f>ROUND(105.26*5,0)</f>
        <v>526</v>
      </c>
      <c r="F1419" s="31"/>
      <c r="G1419" s="29" t="s">
        <v>21</v>
      </c>
      <c r="H1419" s="38"/>
      <c r="I1419" s="32"/>
    </row>
    <row r="1420" spans="1:9" x14ac:dyDescent="0.25">
      <c r="A1420" s="26"/>
      <c r="B1420" s="9"/>
      <c r="C1420" s="39"/>
      <c r="D1420" s="27"/>
      <c r="E1420" s="30"/>
      <c r="F1420" s="28"/>
      <c r="G1420" s="29"/>
      <c r="I1420" s="32"/>
    </row>
    <row r="1421" spans="1:9" x14ac:dyDescent="0.25">
      <c r="A1421" s="26"/>
      <c r="B1421" s="9"/>
      <c r="C1421" s="39"/>
      <c r="D1421" s="27"/>
      <c r="E1421" s="30"/>
      <c r="F1421" s="28"/>
      <c r="G1421" s="29"/>
      <c r="H1421" s="38"/>
      <c r="I1421" s="32"/>
    </row>
    <row r="1422" spans="1:9" x14ac:dyDescent="0.25">
      <c r="A1422" s="26"/>
      <c r="B1422" s="9"/>
      <c r="C1422" s="37"/>
      <c r="D1422" s="27"/>
      <c r="E1422" s="30"/>
      <c r="F1422" s="28"/>
      <c r="G1422" s="29"/>
      <c r="I1422" s="32"/>
    </row>
    <row r="1423" spans="1:9" x14ac:dyDescent="0.25">
      <c r="A1423" s="26"/>
      <c r="B1423" s="9"/>
      <c r="C1423" s="39"/>
      <c r="D1423" s="27"/>
      <c r="E1423" s="30"/>
      <c r="F1423" s="28"/>
      <c r="G1423" s="29"/>
      <c r="H1423" s="38"/>
      <c r="I1423" s="32"/>
    </row>
    <row r="1424" spans="1:9" x14ac:dyDescent="0.25">
      <c r="A1424" s="26"/>
      <c r="B1424" s="9"/>
      <c r="C1424" s="39"/>
      <c r="D1424" s="27"/>
      <c r="E1424" s="30"/>
      <c r="F1424" s="28"/>
      <c r="G1424" s="29"/>
      <c r="I1424" s="32"/>
    </row>
    <row r="1425" spans="1:9" x14ac:dyDescent="0.25">
      <c r="A1425" s="26"/>
      <c r="B1425" s="9"/>
      <c r="C1425" s="39"/>
      <c r="D1425" s="27"/>
      <c r="E1425" s="30"/>
      <c r="F1425" s="28"/>
      <c r="G1425" s="29"/>
      <c r="H1425" s="38"/>
      <c r="I1425" s="32"/>
    </row>
    <row r="1426" spans="1:9" x14ac:dyDescent="0.25">
      <c r="A1426" s="26"/>
      <c r="B1426" s="9"/>
      <c r="C1426" s="44"/>
      <c r="D1426" s="27"/>
      <c r="E1426" s="30"/>
      <c r="F1426" s="28"/>
      <c r="G1426" s="29"/>
      <c r="I1426" s="32"/>
    </row>
    <row r="1427" spans="1:9" x14ac:dyDescent="0.25">
      <c r="A1427" s="26"/>
      <c r="B1427" s="9"/>
      <c r="C1427" s="44"/>
      <c r="D1427" s="27"/>
      <c r="E1427" s="30"/>
      <c r="F1427" s="28"/>
      <c r="G1427" s="29"/>
      <c r="I1427" s="32"/>
    </row>
    <row r="1428" spans="1:9" x14ac:dyDescent="0.25">
      <c r="A1428" s="26"/>
      <c r="B1428" s="9"/>
      <c r="C1428" s="39"/>
      <c r="D1428" s="27"/>
      <c r="E1428" s="30"/>
      <c r="F1428" s="28"/>
      <c r="G1428" s="29"/>
      <c r="H1428" s="38"/>
      <c r="I1428" s="32"/>
    </row>
    <row r="1429" spans="1:9" x14ac:dyDescent="0.25">
      <c r="A1429" s="26"/>
      <c r="B1429" s="9"/>
      <c r="C1429" s="44"/>
      <c r="D1429" s="27"/>
      <c r="E1429" s="30"/>
      <c r="F1429" s="28"/>
      <c r="G1429" s="29"/>
      <c r="I1429" s="32"/>
    </row>
    <row r="1430" spans="1:9" x14ac:dyDescent="0.25">
      <c r="A1430" s="26"/>
      <c r="B1430" s="9"/>
      <c r="C1430" s="44"/>
      <c r="D1430" s="27"/>
      <c r="E1430" s="30"/>
      <c r="F1430" s="28"/>
      <c r="G1430" s="29"/>
      <c r="I1430" s="32"/>
    </row>
    <row r="1431" spans="1:9" x14ac:dyDescent="0.25">
      <c r="A1431" s="26"/>
      <c r="B1431" s="9"/>
      <c r="C1431" s="44"/>
      <c r="D1431" s="27"/>
      <c r="E1431" s="30"/>
      <c r="F1431" s="28"/>
      <c r="G1431" s="29"/>
      <c r="I1431" s="32"/>
    </row>
    <row r="1432" spans="1:9" x14ac:dyDescent="0.25">
      <c r="A1432" s="26"/>
      <c r="B1432" s="9"/>
      <c r="C1432" s="44"/>
      <c r="D1432" s="27"/>
      <c r="E1432" s="30"/>
      <c r="F1432" s="28"/>
      <c r="G1432" s="29"/>
      <c r="I1432" s="32"/>
    </row>
    <row r="1433" spans="1:9" x14ac:dyDescent="0.25">
      <c r="A1433" s="26"/>
      <c r="B1433" s="9"/>
      <c r="C1433" s="44"/>
      <c r="D1433" s="27"/>
      <c r="E1433" s="30"/>
      <c r="F1433" s="28"/>
      <c r="G1433" s="29"/>
      <c r="I1433" s="32"/>
    </row>
    <row r="1434" spans="1:9" x14ac:dyDescent="0.25">
      <c r="A1434" s="26"/>
      <c r="B1434" s="9"/>
      <c r="C1434" s="44"/>
      <c r="D1434" s="27"/>
      <c r="E1434" s="30"/>
      <c r="F1434" s="28"/>
      <c r="G1434" s="29"/>
      <c r="H1434" s="38"/>
      <c r="I1434" s="32"/>
    </row>
    <row r="1435" spans="1:9" x14ac:dyDescent="0.25">
      <c r="A1435" s="21"/>
      <c r="B1435" s="16"/>
      <c r="C1435" s="17"/>
      <c r="D1435" s="46"/>
      <c r="E1435" s="18"/>
      <c r="F1435" s="47"/>
      <c r="G1435" s="56"/>
      <c r="H1435" s="19"/>
      <c r="I1435" s="48"/>
    </row>
    <row r="1436" spans="1:9" x14ac:dyDescent="0.25">
      <c r="C1436" s="52"/>
      <c r="D1436" s="49"/>
      <c r="G1436" s="29"/>
      <c r="H1436" s="28"/>
      <c r="I1436" s="51"/>
    </row>
    <row r="1437" spans="1:9" ht="15.75" thickBot="1" x14ac:dyDescent="0.3">
      <c r="E1437" s="53" t="s">
        <v>6</v>
      </c>
      <c r="G1437" s="57"/>
      <c r="H1437" s="142"/>
      <c r="I1437" s="54"/>
    </row>
    <row r="1438" spans="1:9" ht="15.75" thickTop="1" x14ac:dyDescent="0.25">
      <c r="E1438" s="58"/>
    </row>
    <row r="1439" spans="1:9" x14ac:dyDescent="0.25">
      <c r="A1439" s="59"/>
      <c r="B1439" s="60"/>
      <c r="C1439" s="61"/>
      <c r="D1439" s="62"/>
      <c r="E1439" s="63"/>
      <c r="F1439" s="60"/>
      <c r="G1439" s="60"/>
      <c r="H1439" s="143"/>
      <c r="I1439" s="62"/>
    </row>
    <row r="1440" spans="1:9" x14ac:dyDescent="0.25">
      <c r="A1440" s="64"/>
      <c r="B1440" s="65"/>
      <c r="C1440" s="66"/>
      <c r="D1440" s="67"/>
      <c r="E1440" s="68"/>
      <c r="F1440" s="69"/>
      <c r="G1440" s="70"/>
      <c r="H1440" s="144" t="s">
        <v>2</v>
      </c>
      <c r="I1440" s="71"/>
    </row>
    <row r="1441" spans="1:9" x14ac:dyDescent="0.25">
      <c r="A1441" s="72"/>
      <c r="B1441" s="73"/>
      <c r="C1441" s="74" t="s">
        <v>0</v>
      </c>
      <c r="D1441" s="75"/>
      <c r="E1441" s="76" t="s">
        <v>3</v>
      </c>
      <c r="F1441" s="77"/>
      <c r="G1441" s="78" t="s">
        <v>1</v>
      </c>
      <c r="H1441" s="145" t="s">
        <v>4</v>
      </c>
      <c r="I1441" s="79" t="s">
        <v>5</v>
      </c>
    </row>
    <row r="1442" spans="1:9" x14ac:dyDescent="0.25">
      <c r="A1442" s="26"/>
      <c r="B1442" s="10"/>
      <c r="C1442" s="40"/>
      <c r="D1442" s="41"/>
      <c r="E1442" s="34"/>
      <c r="F1442" s="28"/>
      <c r="G1442" s="29"/>
      <c r="I1442" s="35"/>
    </row>
    <row r="1443" spans="1:9" x14ac:dyDescent="0.25">
      <c r="A1443" s="26"/>
      <c r="B1443" s="9"/>
      <c r="C1443" s="40" t="s">
        <v>112</v>
      </c>
      <c r="D1443" s="27"/>
      <c r="E1443" s="30"/>
      <c r="F1443" s="28"/>
      <c r="G1443" s="29"/>
      <c r="I1443" s="32"/>
    </row>
    <row r="1444" spans="1:9" x14ac:dyDescent="0.25">
      <c r="A1444" s="26"/>
      <c r="B1444" s="9"/>
      <c r="C1444" s="40"/>
      <c r="D1444" s="27"/>
      <c r="E1444" s="30"/>
      <c r="F1444" s="28"/>
      <c r="G1444" s="29"/>
      <c r="I1444" s="32"/>
    </row>
    <row r="1445" spans="1:9" ht="30" x14ac:dyDescent="0.25">
      <c r="A1445" s="26"/>
      <c r="B1445" s="9"/>
      <c r="C1445" s="90" t="s">
        <v>113</v>
      </c>
      <c r="D1445" s="27"/>
      <c r="E1445" s="30"/>
      <c r="F1445" s="28"/>
      <c r="G1445" s="29"/>
      <c r="I1445" s="32"/>
    </row>
    <row r="1446" spans="1:9" x14ac:dyDescent="0.25">
      <c r="A1446" s="26"/>
      <c r="B1446" s="9"/>
      <c r="C1446" s="44"/>
      <c r="D1446" s="27"/>
      <c r="E1446" s="30"/>
      <c r="F1446" s="28"/>
      <c r="G1446" s="29"/>
      <c r="I1446" s="32"/>
    </row>
    <row r="1447" spans="1:9" ht="28.5" x14ac:dyDescent="0.25">
      <c r="A1447" s="26" t="s">
        <v>9</v>
      </c>
      <c r="B1447" s="9"/>
      <c r="C1447" s="37" t="s">
        <v>114</v>
      </c>
      <c r="D1447" s="27"/>
      <c r="E1447" s="30">
        <f>64702+19860+33609+5305+2664</f>
        <v>126140</v>
      </c>
      <c r="F1447" s="28"/>
      <c r="G1447" s="91" t="s">
        <v>115</v>
      </c>
      <c r="H1447" s="38"/>
      <c r="I1447" s="32"/>
    </row>
    <row r="1448" spans="1:9" x14ac:dyDescent="0.25">
      <c r="A1448" s="26"/>
      <c r="B1448" s="9"/>
      <c r="C1448" s="37"/>
      <c r="D1448" s="27"/>
      <c r="E1448" s="30"/>
      <c r="F1448" s="28"/>
      <c r="G1448" s="29"/>
      <c r="I1448" s="32"/>
    </row>
    <row r="1449" spans="1:9" x14ac:dyDescent="0.25">
      <c r="A1449" s="26" t="s">
        <v>10</v>
      </c>
      <c r="B1449" s="9"/>
      <c r="C1449" s="37" t="s">
        <v>116</v>
      </c>
      <c r="D1449" s="27"/>
      <c r="E1449" s="30">
        <f>5937+8623+5676</f>
        <v>20236</v>
      </c>
      <c r="F1449" s="28"/>
      <c r="G1449" s="91" t="s">
        <v>115</v>
      </c>
      <c r="H1449" s="38"/>
      <c r="I1449" s="32"/>
    </row>
    <row r="1450" spans="1:9" x14ac:dyDescent="0.25">
      <c r="A1450" s="26"/>
      <c r="B1450" s="9"/>
      <c r="C1450" s="37"/>
      <c r="D1450" s="27"/>
      <c r="E1450" s="30"/>
      <c r="F1450" s="28"/>
      <c r="G1450" s="91"/>
      <c r="I1450" s="32"/>
    </row>
    <row r="1451" spans="1:9" x14ac:dyDescent="0.25">
      <c r="A1451" s="26" t="s">
        <v>11</v>
      </c>
      <c r="B1451" s="9"/>
      <c r="C1451" s="37" t="s">
        <v>117</v>
      </c>
      <c r="D1451" s="27"/>
      <c r="E1451" s="30">
        <f>242+801</f>
        <v>1043</v>
      </c>
      <c r="F1451" s="28"/>
      <c r="G1451" s="91" t="s">
        <v>115</v>
      </c>
      <c r="H1451" s="38"/>
      <c r="I1451" s="32"/>
    </row>
    <row r="1452" spans="1:9" x14ac:dyDescent="0.25">
      <c r="A1452" s="26"/>
      <c r="B1452" s="9"/>
      <c r="C1452" s="37"/>
      <c r="D1452" s="27"/>
      <c r="E1452" s="30"/>
      <c r="F1452" s="28"/>
      <c r="G1452" s="91"/>
      <c r="I1452" s="32"/>
    </row>
    <row r="1453" spans="1:9" x14ac:dyDescent="0.25">
      <c r="A1453" s="26" t="s">
        <v>12</v>
      </c>
      <c r="B1453" s="9"/>
      <c r="C1453" s="37" t="s">
        <v>118</v>
      </c>
      <c r="D1453" s="27"/>
      <c r="E1453" s="30">
        <f>3655+10442+8633+2202+80+8571+11862</f>
        <v>45445</v>
      </c>
      <c r="F1453" s="28"/>
      <c r="G1453" s="91" t="s">
        <v>115</v>
      </c>
      <c r="H1453" s="38"/>
      <c r="I1453" s="32"/>
    </row>
    <row r="1454" spans="1:9" x14ac:dyDescent="0.25">
      <c r="A1454" s="26"/>
      <c r="B1454" s="9"/>
      <c r="C1454" s="37"/>
      <c r="D1454" s="27"/>
      <c r="E1454" s="30"/>
      <c r="F1454" s="28"/>
      <c r="G1454" s="91"/>
      <c r="I1454" s="32"/>
    </row>
    <row r="1455" spans="1:9" x14ac:dyDescent="0.25">
      <c r="A1455" s="26" t="s">
        <v>13</v>
      </c>
      <c r="B1455" s="9"/>
      <c r="C1455" s="37" t="s">
        <v>119</v>
      </c>
      <c r="D1455" s="27"/>
      <c r="E1455" s="30">
        <f>21135+14074+3491+11126+1754+1986+1556</f>
        <v>55122</v>
      </c>
      <c r="F1455" s="28"/>
      <c r="G1455" s="91" t="s">
        <v>115</v>
      </c>
      <c r="H1455" s="38"/>
      <c r="I1455" s="32"/>
    </row>
    <row r="1456" spans="1:9" x14ac:dyDescent="0.25">
      <c r="A1456" s="26"/>
      <c r="B1456" s="9"/>
      <c r="C1456" s="37"/>
      <c r="D1456" s="27"/>
      <c r="E1456" s="30"/>
      <c r="F1456" s="28"/>
      <c r="G1456" s="91"/>
      <c r="I1456" s="32"/>
    </row>
    <row r="1457" spans="1:9" x14ac:dyDescent="0.25">
      <c r="A1457" s="26" t="s">
        <v>14</v>
      </c>
      <c r="B1457" s="9"/>
      <c r="C1457" s="37" t="s">
        <v>23</v>
      </c>
      <c r="D1457" s="27"/>
      <c r="E1457" s="30">
        <f>2543+14536+184+8633+2202+8571+11862</f>
        <v>48531</v>
      </c>
      <c r="F1457" s="28"/>
      <c r="G1457" s="91" t="s">
        <v>115</v>
      </c>
      <c r="H1457" s="38"/>
      <c r="I1457" s="32"/>
    </row>
    <row r="1458" spans="1:9" x14ac:dyDescent="0.25">
      <c r="A1458" s="26"/>
      <c r="B1458" s="9"/>
      <c r="C1458" s="44"/>
      <c r="D1458" s="27"/>
      <c r="E1458" s="30"/>
      <c r="F1458" s="28"/>
      <c r="G1458" s="29"/>
      <c r="I1458" s="32"/>
    </row>
    <row r="1459" spans="1:9" x14ac:dyDescent="0.25">
      <c r="A1459" s="26" t="s">
        <v>15</v>
      </c>
      <c r="B1459" s="9"/>
      <c r="C1459" s="37" t="s">
        <v>120</v>
      </c>
      <c r="D1459" s="27"/>
      <c r="E1459" s="30">
        <f>4558+11774+4582+9910+4266+1186+264+2858</f>
        <v>39398</v>
      </c>
      <c r="F1459" s="28"/>
      <c r="G1459" s="91" t="s">
        <v>115</v>
      </c>
      <c r="H1459" s="38"/>
      <c r="I1459" s="32"/>
    </row>
    <row r="1460" spans="1:9" x14ac:dyDescent="0.25">
      <c r="A1460" s="26"/>
      <c r="B1460" s="9"/>
      <c r="C1460" s="44"/>
      <c r="D1460" s="27"/>
      <c r="E1460" s="30"/>
      <c r="F1460" s="28"/>
      <c r="G1460" s="91"/>
      <c r="H1460" s="38"/>
      <c r="I1460" s="32"/>
    </row>
    <row r="1461" spans="1:9" x14ac:dyDescent="0.25">
      <c r="A1461" s="26" t="s">
        <v>16</v>
      </c>
      <c r="B1461" s="9"/>
      <c r="C1461" s="37" t="s">
        <v>41</v>
      </c>
      <c r="D1461" s="27"/>
      <c r="E1461" s="30">
        <f>3832+688+9223+5950+770+8571+11862</f>
        <v>40896</v>
      </c>
      <c r="F1461" s="28"/>
      <c r="G1461" s="91" t="s">
        <v>115</v>
      </c>
      <c r="H1461" s="38"/>
      <c r="I1461" s="32"/>
    </row>
    <row r="1462" spans="1:9" x14ac:dyDescent="0.25">
      <c r="A1462" s="26"/>
      <c r="B1462" s="9"/>
      <c r="C1462" s="44"/>
      <c r="D1462" s="27"/>
      <c r="E1462" s="30"/>
      <c r="F1462" s="28"/>
      <c r="G1462" s="91"/>
      <c r="H1462" s="38"/>
      <c r="I1462" s="32"/>
    </row>
    <row r="1463" spans="1:9" x14ac:dyDescent="0.25">
      <c r="A1463" s="26" t="s">
        <v>17</v>
      </c>
      <c r="B1463" s="9"/>
      <c r="C1463" s="37" t="s">
        <v>121</v>
      </c>
      <c r="D1463" s="27"/>
      <c r="E1463" s="30">
        <f>4558+11774+4582+9910+4266+1186+264+6359</f>
        <v>42899</v>
      </c>
      <c r="F1463" s="28"/>
      <c r="G1463" s="91" t="s">
        <v>115</v>
      </c>
      <c r="H1463" s="38"/>
      <c r="I1463" s="32"/>
    </row>
    <row r="1464" spans="1:9" x14ac:dyDescent="0.25">
      <c r="A1464" s="26"/>
      <c r="B1464" s="9"/>
      <c r="C1464" s="44"/>
      <c r="D1464" s="27"/>
      <c r="E1464" s="30"/>
      <c r="F1464" s="28"/>
      <c r="G1464" s="91"/>
      <c r="H1464" s="38"/>
      <c r="I1464" s="32"/>
    </row>
    <row r="1465" spans="1:9" x14ac:dyDescent="0.25">
      <c r="A1465" s="26" t="s">
        <v>18</v>
      </c>
      <c r="B1465" s="9"/>
      <c r="C1465" s="37" t="s">
        <v>42</v>
      </c>
      <c r="D1465" s="27"/>
      <c r="E1465" s="30">
        <f>3832+688+9223+5950+770+8571+11862</f>
        <v>40896</v>
      </c>
      <c r="F1465" s="28"/>
      <c r="G1465" s="91" t="s">
        <v>115</v>
      </c>
      <c r="H1465" s="38"/>
      <c r="I1465" s="32"/>
    </row>
    <row r="1466" spans="1:9" x14ac:dyDescent="0.25">
      <c r="A1466" s="26"/>
      <c r="B1466" s="9"/>
      <c r="C1466" s="44"/>
      <c r="D1466" s="27"/>
      <c r="E1466" s="30"/>
      <c r="F1466" s="28"/>
      <c r="G1466" s="91"/>
      <c r="H1466" s="38"/>
      <c r="I1466" s="32"/>
    </row>
    <row r="1467" spans="1:9" ht="28.5" x14ac:dyDescent="0.25">
      <c r="A1467" s="26" t="s">
        <v>19</v>
      </c>
      <c r="B1467" s="9"/>
      <c r="C1467" s="37" t="s">
        <v>122</v>
      </c>
      <c r="D1467" s="27"/>
      <c r="E1467" s="30">
        <f>3802+15772+6130+18687+4763+1648+264+6978</f>
        <v>58044</v>
      </c>
      <c r="F1467" s="28"/>
      <c r="G1467" s="91" t="s">
        <v>115</v>
      </c>
      <c r="H1467" s="38"/>
      <c r="I1467" s="32"/>
    </row>
    <row r="1468" spans="1:9" x14ac:dyDescent="0.25">
      <c r="A1468" s="26"/>
      <c r="B1468" s="9"/>
      <c r="C1468" s="44"/>
      <c r="D1468" s="27"/>
      <c r="E1468" s="30"/>
      <c r="F1468" s="28"/>
      <c r="G1468" s="91"/>
      <c r="H1468" s="38"/>
      <c r="I1468" s="32"/>
    </row>
    <row r="1469" spans="1:9" x14ac:dyDescent="0.25">
      <c r="A1469" s="26" t="s">
        <v>26</v>
      </c>
      <c r="B1469" s="9"/>
      <c r="C1469" s="37" t="s">
        <v>123</v>
      </c>
      <c r="D1469" s="27"/>
      <c r="E1469" s="30">
        <f>1230+4052+4600+770+4115+11862</f>
        <v>26629</v>
      </c>
      <c r="F1469" s="28"/>
      <c r="G1469" s="91" t="s">
        <v>115</v>
      </c>
      <c r="H1469" s="38"/>
      <c r="I1469" s="32"/>
    </row>
    <row r="1470" spans="1:9" x14ac:dyDescent="0.25">
      <c r="A1470" s="26"/>
      <c r="B1470" s="9"/>
      <c r="C1470" s="44"/>
      <c r="D1470" s="27"/>
      <c r="E1470" s="30"/>
      <c r="F1470" s="28"/>
      <c r="G1470" s="91"/>
      <c r="H1470" s="38"/>
      <c r="I1470" s="32"/>
    </row>
    <row r="1471" spans="1:9" x14ac:dyDescent="0.25">
      <c r="A1471" s="26" t="s">
        <v>27</v>
      </c>
      <c r="B1471" s="9"/>
      <c r="C1471" s="37" t="s">
        <v>124</v>
      </c>
      <c r="D1471" s="27"/>
      <c r="E1471" s="30">
        <f>7898+6838+7914+6418+1328+1436</f>
        <v>31832</v>
      </c>
      <c r="F1471" s="28"/>
      <c r="G1471" s="91" t="s">
        <v>115</v>
      </c>
      <c r="H1471" s="38"/>
      <c r="I1471" s="32"/>
    </row>
    <row r="1472" spans="1:9" x14ac:dyDescent="0.25">
      <c r="A1472" s="26"/>
      <c r="B1472" s="9"/>
      <c r="C1472" s="44"/>
      <c r="D1472" s="27"/>
      <c r="E1472" s="30"/>
      <c r="F1472" s="28"/>
      <c r="G1472" s="91"/>
      <c r="H1472" s="38"/>
      <c r="I1472" s="32"/>
    </row>
    <row r="1473" spans="1:9" x14ac:dyDescent="0.25">
      <c r="A1473" s="26" t="s">
        <v>28</v>
      </c>
      <c r="B1473" s="9"/>
      <c r="C1473" s="44" t="s">
        <v>125</v>
      </c>
      <c r="D1473" s="27"/>
      <c r="E1473" s="30">
        <f>452+200+608</f>
        <v>1260</v>
      </c>
      <c r="F1473" s="28"/>
      <c r="G1473" s="91" t="s">
        <v>115</v>
      </c>
      <c r="H1473" s="38"/>
      <c r="I1473" s="32"/>
    </row>
    <row r="1474" spans="1:9" x14ac:dyDescent="0.25">
      <c r="A1474" s="26"/>
      <c r="B1474" s="9"/>
      <c r="C1474" s="44"/>
      <c r="D1474" s="27"/>
      <c r="E1474" s="30"/>
      <c r="F1474" s="28"/>
      <c r="G1474" s="91"/>
      <c r="H1474" s="38"/>
      <c r="I1474" s="32"/>
    </row>
    <row r="1475" spans="1:9" x14ac:dyDescent="0.25">
      <c r="A1475" s="26"/>
      <c r="B1475" s="9"/>
      <c r="C1475" s="44"/>
      <c r="D1475" s="27"/>
      <c r="E1475" s="30"/>
      <c r="F1475" s="28"/>
      <c r="G1475" s="91"/>
      <c r="H1475" s="38"/>
      <c r="I1475" s="32"/>
    </row>
    <row r="1476" spans="1:9" x14ac:dyDescent="0.25">
      <c r="A1476" s="26"/>
      <c r="B1476" s="9"/>
      <c r="C1476" s="44"/>
      <c r="D1476" s="27"/>
      <c r="E1476" s="30"/>
      <c r="F1476" s="28"/>
      <c r="G1476" s="91"/>
      <c r="H1476" s="38"/>
      <c r="I1476" s="32"/>
    </row>
    <row r="1477" spans="1:9" x14ac:dyDescent="0.25">
      <c r="A1477" s="26"/>
      <c r="B1477" s="9"/>
      <c r="C1477" s="44"/>
      <c r="D1477" s="27"/>
      <c r="E1477" s="30"/>
      <c r="F1477" s="28"/>
      <c r="G1477" s="43"/>
      <c r="H1477" s="38"/>
      <c r="I1477" s="32"/>
    </row>
    <row r="1478" spans="1:9" x14ac:dyDescent="0.25">
      <c r="A1478" s="26"/>
      <c r="B1478" s="9"/>
      <c r="C1478" s="44"/>
      <c r="D1478" s="27"/>
      <c r="E1478" s="30"/>
      <c r="F1478" s="28"/>
      <c r="G1478" s="43"/>
      <c r="H1478" s="38"/>
      <c r="I1478" s="32"/>
    </row>
    <row r="1479" spans="1:9" x14ac:dyDescent="0.25">
      <c r="A1479" s="26"/>
      <c r="B1479" s="9"/>
      <c r="C1479" s="44"/>
      <c r="D1479" s="27"/>
      <c r="E1479" s="30"/>
      <c r="F1479" s="28"/>
      <c r="G1479" s="43"/>
      <c r="H1479" s="38"/>
      <c r="I1479" s="32"/>
    </row>
    <row r="1480" spans="1:9" x14ac:dyDescent="0.25">
      <c r="A1480" s="26"/>
      <c r="B1480" s="9"/>
      <c r="C1480" s="44"/>
      <c r="D1480" s="27"/>
      <c r="E1480" s="30"/>
      <c r="F1480" s="28"/>
      <c r="G1480" s="29"/>
      <c r="H1480" s="38"/>
      <c r="I1480" s="32"/>
    </row>
    <row r="1481" spans="1:9" x14ac:dyDescent="0.25">
      <c r="A1481" s="26"/>
      <c r="B1481" s="9"/>
      <c r="C1481" s="44"/>
      <c r="D1481" s="27"/>
      <c r="E1481" s="30"/>
      <c r="F1481" s="28"/>
      <c r="G1481" s="43"/>
      <c r="H1481" s="38"/>
      <c r="I1481" s="32"/>
    </row>
    <row r="1482" spans="1:9" x14ac:dyDescent="0.25">
      <c r="A1482" s="26"/>
      <c r="B1482" s="9"/>
      <c r="C1482" s="44"/>
      <c r="D1482" s="27"/>
      <c r="E1482" s="30"/>
      <c r="F1482" s="28"/>
      <c r="G1482" s="43"/>
      <c r="H1482" s="38"/>
      <c r="I1482" s="32"/>
    </row>
    <row r="1483" spans="1:9" x14ac:dyDescent="0.25">
      <c r="A1483" s="26"/>
      <c r="B1483" s="9"/>
      <c r="C1483" s="92"/>
      <c r="D1483" s="27"/>
      <c r="E1483" s="30"/>
      <c r="F1483" s="28"/>
      <c r="G1483" s="91"/>
      <c r="H1483" s="147"/>
      <c r="I1483" s="32"/>
    </row>
    <row r="1484" spans="1:9" x14ac:dyDescent="0.25">
      <c r="A1484" s="26"/>
      <c r="B1484" s="9"/>
      <c r="C1484" s="92"/>
      <c r="D1484" s="27"/>
      <c r="E1484" s="30"/>
      <c r="F1484" s="28"/>
      <c r="G1484" s="91"/>
      <c r="H1484" s="147"/>
      <c r="I1484" s="32"/>
    </row>
    <row r="1485" spans="1:9" x14ac:dyDescent="0.25">
      <c r="A1485" s="26"/>
      <c r="B1485" s="9"/>
      <c r="C1485" s="92"/>
      <c r="D1485" s="27"/>
      <c r="E1485" s="30"/>
      <c r="F1485" s="28"/>
      <c r="G1485" s="91"/>
      <c r="H1485" s="147"/>
      <c r="I1485" s="32"/>
    </row>
    <row r="1486" spans="1:9" x14ac:dyDescent="0.25">
      <c r="A1486" s="26"/>
      <c r="B1486" s="9"/>
      <c r="C1486" s="92"/>
      <c r="D1486" s="27"/>
      <c r="E1486" s="30"/>
      <c r="F1486" s="28"/>
      <c r="G1486" s="91"/>
      <c r="H1486" s="147"/>
      <c r="I1486" s="32"/>
    </row>
    <row r="1487" spans="1:9" x14ac:dyDescent="0.25">
      <c r="A1487" s="26"/>
      <c r="B1487" s="9"/>
      <c r="C1487" s="92"/>
      <c r="D1487" s="27"/>
      <c r="E1487" s="30"/>
      <c r="F1487" s="28"/>
      <c r="G1487" s="91"/>
      <c r="H1487" s="147"/>
      <c r="I1487" s="32"/>
    </row>
    <row r="1488" spans="1:9" x14ac:dyDescent="0.25">
      <c r="A1488" s="26"/>
      <c r="B1488" s="9"/>
      <c r="C1488" s="92"/>
      <c r="D1488" s="27"/>
      <c r="E1488" s="30"/>
      <c r="F1488" s="28"/>
      <c r="G1488" s="91"/>
      <c r="H1488" s="147"/>
      <c r="I1488" s="32"/>
    </row>
    <row r="1489" spans="1:13" x14ac:dyDescent="0.25">
      <c r="A1489" s="26"/>
      <c r="B1489" s="9"/>
      <c r="C1489" s="92"/>
      <c r="D1489" s="27"/>
      <c r="E1489" s="30"/>
      <c r="F1489" s="28"/>
      <c r="G1489" s="91"/>
      <c r="I1489" s="32"/>
    </row>
    <row r="1490" spans="1:13" s="55" customFormat="1" x14ac:dyDescent="0.25">
      <c r="A1490" s="26"/>
      <c r="C1490" s="92"/>
      <c r="D1490" s="93"/>
      <c r="E1490" s="30"/>
      <c r="F1490" s="94"/>
      <c r="G1490" s="91"/>
      <c r="H1490" s="147"/>
      <c r="I1490" s="32"/>
      <c r="J1490" s="95"/>
      <c r="K1490" s="96"/>
      <c r="L1490" s="97"/>
      <c r="M1490" s="98"/>
    </row>
    <row r="1491" spans="1:13" x14ac:dyDescent="0.25">
      <c r="A1491" s="21"/>
      <c r="B1491" s="16"/>
      <c r="C1491" s="17"/>
      <c r="D1491" s="46"/>
      <c r="E1491" s="18"/>
      <c r="F1491" s="47"/>
      <c r="G1491" s="56"/>
      <c r="H1491" s="19"/>
      <c r="I1491" s="48"/>
    </row>
    <row r="1492" spans="1:13" x14ac:dyDescent="0.25">
      <c r="C1492" s="52"/>
      <c r="D1492" s="49"/>
      <c r="G1492" s="29"/>
      <c r="H1492" s="28"/>
      <c r="I1492" s="51"/>
    </row>
    <row r="1493" spans="1:13" ht="15.75" thickBot="1" x14ac:dyDescent="0.3">
      <c r="E1493" s="53" t="s">
        <v>6</v>
      </c>
      <c r="G1493" s="57"/>
      <c r="H1493" s="142"/>
      <c r="I1493" s="54"/>
    </row>
    <row r="1494" spans="1:13" ht="15.75" thickTop="1" x14ac:dyDescent="0.25">
      <c r="E1494" s="58"/>
    </row>
    <row r="1495" spans="1:13" x14ac:dyDescent="0.25">
      <c r="A1495" s="59"/>
      <c r="B1495" s="60"/>
      <c r="C1495" s="61"/>
      <c r="D1495" s="62"/>
      <c r="E1495" s="63"/>
      <c r="F1495" s="60"/>
      <c r="G1495" s="60"/>
      <c r="H1495" s="143"/>
      <c r="I1495" s="62"/>
    </row>
    <row r="1496" spans="1:13" x14ac:dyDescent="0.25">
      <c r="A1496" s="64"/>
      <c r="B1496" s="65"/>
      <c r="C1496" s="66"/>
      <c r="D1496" s="67"/>
      <c r="E1496" s="68"/>
      <c r="F1496" s="69"/>
      <c r="G1496" s="70"/>
      <c r="H1496" s="144" t="s">
        <v>2</v>
      </c>
      <c r="I1496" s="71"/>
    </row>
    <row r="1497" spans="1:13" x14ac:dyDescent="0.25">
      <c r="A1497" s="72"/>
      <c r="B1497" s="73"/>
      <c r="C1497" s="74" t="s">
        <v>0</v>
      </c>
      <c r="D1497" s="75"/>
      <c r="E1497" s="76" t="s">
        <v>3</v>
      </c>
      <c r="F1497" s="77"/>
      <c r="G1497" s="78" t="s">
        <v>1</v>
      </c>
      <c r="H1497" s="145" t="s">
        <v>4</v>
      </c>
      <c r="I1497" s="79" t="s">
        <v>5</v>
      </c>
    </row>
    <row r="1498" spans="1:13" x14ac:dyDescent="0.25">
      <c r="A1498" s="26"/>
      <c r="B1498" s="10"/>
      <c r="C1498" s="40"/>
      <c r="D1498" s="41"/>
      <c r="E1498" s="34"/>
      <c r="F1498" s="28"/>
      <c r="G1498" s="29"/>
      <c r="I1498" s="35"/>
    </row>
    <row r="1499" spans="1:13" x14ac:dyDescent="0.25">
      <c r="A1499" s="26"/>
      <c r="B1499" s="9"/>
      <c r="C1499" s="45" t="s">
        <v>24</v>
      </c>
      <c r="D1499" s="27"/>
      <c r="E1499" s="30"/>
      <c r="F1499" s="28"/>
      <c r="G1499" s="29"/>
      <c r="I1499" s="32"/>
    </row>
    <row r="1500" spans="1:13" x14ac:dyDescent="0.25">
      <c r="A1500" s="26"/>
      <c r="B1500" s="9"/>
      <c r="C1500" s="44"/>
      <c r="D1500" s="27"/>
      <c r="E1500" s="30"/>
      <c r="F1500" s="28"/>
      <c r="G1500" s="29"/>
      <c r="I1500" s="32"/>
    </row>
    <row r="1501" spans="1:13" ht="45" x14ac:dyDescent="0.25">
      <c r="A1501" s="26"/>
      <c r="B1501" s="9"/>
      <c r="C1501" s="45" t="s">
        <v>126</v>
      </c>
      <c r="D1501" s="27"/>
      <c r="E1501" s="30"/>
      <c r="F1501" s="28"/>
      <c r="G1501" s="29"/>
      <c r="I1501" s="32"/>
    </row>
    <row r="1502" spans="1:13" x14ac:dyDescent="0.25">
      <c r="A1502" s="26"/>
      <c r="B1502" s="9"/>
      <c r="C1502" s="44"/>
      <c r="D1502" s="27"/>
      <c r="E1502" s="30"/>
      <c r="F1502" s="28"/>
      <c r="G1502" s="29"/>
      <c r="I1502" s="32"/>
    </row>
    <row r="1503" spans="1:13" ht="28.5" x14ac:dyDescent="0.25">
      <c r="A1503" s="26" t="s">
        <v>9</v>
      </c>
      <c r="B1503" s="9"/>
      <c r="C1503" s="37" t="s">
        <v>127</v>
      </c>
      <c r="D1503" s="27"/>
      <c r="E1503" s="30">
        <f>ROUND(3.2*1.6*4,0)</f>
        <v>20</v>
      </c>
      <c r="F1503" s="28"/>
      <c r="G1503" s="29" t="s">
        <v>21</v>
      </c>
      <c r="H1503" s="38"/>
      <c r="I1503" s="32"/>
    </row>
    <row r="1504" spans="1:13" x14ac:dyDescent="0.25">
      <c r="A1504" s="26"/>
      <c r="B1504" s="9"/>
      <c r="C1504" s="44"/>
      <c r="D1504" s="27"/>
      <c r="E1504" s="30"/>
      <c r="F1504" s="28"/>
      <c r="G1504" s="29"/>
      <c r="H1504" s="38"/>
      <c r="I1504" s="35"/>
    </row>
    <row r="1505" spans="1:9" x14ac:dyDescent="0.25">
      <c r="A1505" s="26" t="s">
        <v>10</v>
      </c>
      <c r="B1505" s="9"/>
      <c r="C1505" s="44" t="s">
        <v>128</v>
      </c>
      <c r="D1505" s="27"/>
      <c r="E1505" s="30">
        <f>ROUND((105.26*0.3*2)+(105.26*5),0)</f>
        <v>589</v>
      </c>
      <c r="F1505" s="28"/>
      <c r="G1505" s="29" t="s">
        <v>21</v>
      </c>
      <c r="H1505" s="38"/>
      <c r="I1505" s="32"/>
    </row>
    <row r="1506" spans="1:9" x14ac:dyDescent="0.25">
      <c r="A1506" s="26"/>
      <c r="B1506" s="9"/>
      <c r="C1506" s="44"/>
      <c r="D1506" s="27"/>
      <c r="E1506" s="30"/>
      <c r="F1506" s="28"/>
      <c r="G1506" s="29"/>
      <c r="I1506" s="35"/>
    </row>
    <row r="1507" spans="1:9" ht="28.5" x14ac:dyDescent="0.25">
      <c r="A1507" s="26" t="s">
        <v>11</v>
      </c>
      <c r="B1507" s="9"/>
      <c r="C1507" s="44" t="s">
        <v>129</v>
      </c>
      <c r="D1507" s="27"/>
      <c r="E1507" s="30">
        <f>ROUND((238.01*0.7)+(185.9*3.3),0)</f>
        <v>780</v>
      </c>
      <c r="F1507" s="28"/>
      <c r="G1507" s="29" t="s">
        <v>21</v>
      </c>
      <c r="H1507" s="38"/>
      <c r="I1507" s="32"/>
    </row>
    <row r="1508" spans="1:9" x14ac:dyDescent="0.25">
      <c r="A1508" s="26"/>
      <c r="B1508" s="9"/>
      <c r="C1508" s="44"/>
      <c r="D1508" s="27"/>
      <c r="E1508" s="30"/>
      <c r="F1508" s="28"/>
      <c r="G1508" s="29"/>
      <c r="H1508" s="38"/>
      <c r="I1508" s="32"/>
    </row>
    <row r="1509" spans="1:9" x14ac:dyDescent="0.25">
      <c r="A1509" s="26" t="s">
        <v>12</v>
      </c>
      <c r="B1509" s="9"/>
      <c r="C1509" s="44" t="s">
        <v>130</v>
      </c>
      <c r="D1509" s="27"/>
      <c r="E1509" s="30">
        <f>ROUND(105.26*0.4,0)</f>
        <v>42</v>
      </c>
      <c r="F1509" s="28"/>
      <c r="G1509" s="29" t="s">
        <v>21</v>
      </c>
      <c r="H1509" s="38"/>
      <c r="I1509" s="32"/>
    </row>
    <row r="1510" spans="1:9" x14ac:dyDescent="0.25">
      <c r="A1510" s="26"/>
      <c r="B1510" s="9"/>
      <c r="C1510" s="44"/>
      <c r="D1510" s="27"/>
      <c r="E1510" s="30"/>
      <c r="F1510" s="28"/>
      <c r="G1510" s="29"/>
      <c r="I1510" s="32"/>
    </row>
    <row r="1511" spans="1:9" ht="28.5" x14ac:dyDescent="0.25">
      <c r="A1511" s="26" t="s">
        <v>13</v>
      </c>
      <c r="B1511" s="9"/>
      <c r="C1511" s="99" t="s">
        <v>131</v>
      </c>
      <c r="D1511" s="100"/>
      <c r="E1511" s="30">
        <f>ROUND((238.01*1),0)</f>
        <v>238</v>
      </c>
      <c r="F1511" s="28"/>
      <c r="G1511" s="29" t="s">
        <v>21</v>
      </c>
      <c r="H1511" s="38"/>
      <c r="I1511" s="32"/>
    </row>
    <row r="1512" spans="1:9" x14ac:dyDescent="0.25">
      <c r="A1512" s="26"/>
      <c r="B1512" s="9"/>
      <c r="C1512" s="99"/>
      <c r="D1512" s="100"/>
      <c r="E1512" s="30"/>
      <c r="F1512" s="28"/>
      <c r="G1512" s="29"/>
      <c r="I1512" s="32"/>
    </row>
    <row r="1513" spans="1:9" x14ac:dyDescent="0.25">
      <c r="A1513" s="26" t="s">
        <v>14</v>
      </c>
      <c r="B1513" s="9"/>
      <c r="C1513" s="44" t="s">
        <v>132</v>
      </c>
      <c r="D1513" s="27"/>
      <c r="E1513" s="30">
        <f>ROUND(200.85,0)</f>
        <v>201</v>
      </c>
      <c r="F1513" s="28"/>
      <c r="G1513" s="29" t="s">
        <v>21</v>
      </c>
      <c r="H1513" s="38"/>
      <c r="I1513" s="32"/>
    </row>
    <row r="1514" spans="1:9" x14ac:dyDescent="0.25">
      <c r="A1514" s="26"/>
      <c r="B1514" s="9"/>
      <c r="C1514" s="44"/>
      <c r="D1514" s="27"/>
      <c r="E1514" s="30"/>
      <c r="F1514" s="28"/>
      <c r="G1514" s="29"/>
      <c r="I1514" s="32"/>
    </row>
    <row r="1515" spans="1:9" ht="45" x14ac:dyDescent="0.25">
      <c r="A1515" s="26"/>
      <c r="B1515" s="9"/>
      <c r="C1515" s="101" t="s">
        <v>133</v>
      </c>
      <c r="D1515" s="102"/>
      <c r="E1515" s="103"/>
      <c r="F1515" s="104"/>
      <c r="G1515" s="102"/>
      <c r="H1515" s="38"/>
      <c r="I1515" s="32"/>
    </row>
    <row r="1516" spans="1:9" x14ac:dyDescent="0.25">
      <c r="A1516" s="26"/>
      <c r="B1516" s="9"/>
      <c r="C1516" s="101"/>
      <c r="D1516" s="100"/>
      <c r="E1516" s="105"/>
      <c r="F1516" s="106"/>
      <c r="G1516" s="100"/>
      <c r="I1516" s="32"/>
    </row>
    <row r="1517" spans="1:9" ht="28.5" x14ac:dyDescent="0.25">
      <c r="A1517" s="26"/>
      <c r="B1517" s="9"/>
      <c r="C1517" s="107" t="s">
        <v>134</v>
      </c>
      <c r="D1517" s="100"/>
      <c r="E1517" s="105"/>
      <c r="F1517" s="106"/>
      <c r="G1517" s="100"/>
      <c r="H1517" s="38"/>
      <c r="I1517" s="32"/>
    </row>
    <row r="1518" spans="1:9" x14ac:dyDescent="0.25">
      <c r="A1518" s="26"/>
      <c r="B1518" s="9"/>
      <c r="C1518" s="108"/>
      <c r="D1518" s="100"/>
      <c r="E1518" s="105"/>
      <c r="F1518" s="106"/>
      <c r="G1518" s="100"/>
      <c r="I1518" s="32"/>
    </row>
    <row r="1519" spans="1:9" ht="28.5" x14ac:dyDescent="0.25">
      <c r="A1519" s="26" t="s">
        <v>15</v>
      </c>
      <c r="B1519" s="9"/>
      <c r="C1519" s="99" t="s">
        <v>131</v>
      </c>
      <c r="D1519" s="100"/>
      <c r="E1519" s="30">
        <f>ROUND((238.01*1),0)</f>
        <v>238</v>
      </c>
      <c r="F1519" s="106"/>
      <c r="G1519" s="100" t="s">
        <v>21</v>
      </c>
      <c r="H1519" s="38"/>
      <c r="I1519" s="32"/>
    </row>
    <row r="1520" spans="1:9" x14ac:dyDescent="0.25">
      <c r="A1520" s="26"/>
      <c r="B1520" s="9"/>
      <c r="C1520" s="109"/>
      <c r="D1520" s="100"/>
      <c r="E1520" s="110"/>
      <c r="F1520" s="106"/>
      <c r="G1520" s="100"/>
      <c r="I1520" s="32"/>
    </row>
    <row r="1521" spans="1:9" ht="75" x14ac:dyDescent="0.25">
      <c r="A1521" s="26"/>
      <c r="B1521" s="9"/>
      <c r="C1521" s="5" t="s">
        <v>152</v>
      </c>
      <c r="D1521" s="27"/>
      <c r="E1521" s="30"/>
      <c r="F1521" s="28"/>
      <c r="G1521" s="29"/>
      <c r="H1521" s="38"/>
      <c r="I1521" s="32"/>
    </row>
    <row r="1522" spans="1:9" x14ac:dyDescent="0.25">
      <c r="A1522" s="26"/>
      <c r="B1522" s="9"/>
      <c r="C1522" s="111"/>
      <c r="D1522" s="27"/>
      <c r="E1522" s="30"/>
      <c r="F1522" s="28"/>
      <c r="G1522" s="29"/>
      <c r="I1522" s="32"/>
    </row>
    <row r="1523" spans="1:9" x14ac:dyDescent="0.25">
      <c r="A1523" s="26" t="s">
        <v>16</v>
      </c>
      <c r="B1523" s="9"/>
      <c r="C1523" s="44" t="s">
        <v>135</v>
      </c>
      <c r="D1523" s="27"/>
      <c r="E1523" s="30">
        <f>ROUND(185.9,0)</f>
        <v>186</v>
      </c>
      <c r="F1523" s="106"/>
      <c r="G1523" s="100" t="s">
        <v>20</v>
      </c>
      <c r="H1523" s="38"/>
      <c r="I1523" s="32"/>
    </row>
    <row r="1524" spans="1:9" x14ac:dyDescent="0.25">
      <c r="A1524" s="26"/>
      <c r="B1524" s="9"/>
      <c r="C1524" s="44"/>
      <c r="D1524" s="27"/>
      <c r="E1524" s="30"/>
      <c r="F1524" s="28"/>
      <c r="G1524" s="29"/>
      <c r="H1524" s="38"/>
      <c r="I1524" s="32"/>
    </row>
    <row r="1525" spans="1:9" x14ac:dyDescent="0.25">
      <c r="A1525" s="26" t="s">
        <v>17</v>
      </c>
      <c r="B1525" s="9"/>
      <c r="C1525" s="37" t="s">
        <v>136</v>
      </c>
      <c r="D1525" s="27"/>
      <c r="E1525" s="30">
        <f>ROUND(105.26,0)</f>
        <v>105</v>
      </c>
      <c r="F1525" s="28"/>
      <c r="G1525" s="29" t="s">
        <v>20</v>
      </c>
      <c r="H1525" s="38"/>
      <c r="I1525" s="32"/>
    </row>
    <row r="1526" spans="1:9" x14ac:dyDescent="0.25">
      <c r="A1526" s="26"/>
      <c r="B1526" s="9"/>
      <c r="C1526" s="44"/>
      <c r="D1526" s="27"/>
      <c r="E1526" s="30"/>
      <c r="F1526" s="28"/>
      <c r="G1526" s="91"/>
      <c r="H1526" s="38"/>
      <c r="I1526" s="32"/>
    </row>
    <row r="1527" spans="1:9" ht="30" x14ac:dyDescent="0.25">
      <c r="A1527" s="26"/>
      <c r="B1527" s="9"/>
      <c r="C1527" s="45" t="s">
        <v>137</v>
      </c>
      <c r="D1527" s="27"/>
      <c r="E1527" s="30"/>
      <c r="F1527" s="28"/>
      <c r="G1527" s="29"/>
      <c r="H1527" s="38"/>
      <c r="I1527" s="32"/>
    </row>
    <row r="1528" spans="1:9" x14ac:dyDescent="0.25">
      <c r="A1528" s="26"/>
      <c r="B1528" s="9"/>
      <c r="C1528" s="44"/>
      <c r="D1528" s="27"/>
      <c r="E1528" s="30"/>
      <c r="F1528" s="28"/>
      <c r="G1528" s="29"/>
      <c r="H1528" s="38"/>
      <c r="I1528" s="32"/>
    </row>
    <row r="1529" spans="1:9" x14ac:dyDescent="0.25">
      <c r="A1529" s="26" t="s">
        <v>18</v>
      </c>
      <c r="B1529" s="9"/>
      <c r="C1529" s="44" t="s">
        <v>138</v>
      </c>
      <c r="D1529" s="27"/>
      <c r="E1529" s="30">
        <f>ROUND(12.8,0)</f>
        <v>13</v>
      </c>
      <c r="F1529" s="106"/>
      <c r="G1529" s="100" t="s">
        <v>20</v>
      </c>
      <c r="H1529" s="38"/>
      <c r="I1529" s="32"/>
    </row>
    <row r="1530" spans="1:9" x14ac:dyDescent="0.25">
      <c r="A1530" s="26"/>
      <c r="B1530" s="9"/>
      <c r="C1530" s="44"/>
      <c r="D1530" s="27"/>
      <c r="E1530" s="30"/>
      <c r="F1530" s="28"/>
      <c r="G1530" s="29"/>
      <c r="H1530" s="38"/>
      <c r="I1530" s="32"/>
    </row>
    <row r="1531" spans="1:9" x14ac:dyDescent="0.25">
      <c r="A1531" s="26" t="s">
        <v>19</v>
      </c>
      <c r="B1531" s="9"/>
      <c r="C1531" s="44" t="s">
        <v>135</v>
      </c>
      <c r="D1531" s="27"/>
      <c r="E1531" s="30">
        <f>ROUND(185.9,0)</f>
        <v>186</v>
      </c>
      <c r="F1531" s="106"/>
      <c r="G1531" s="100" t="s">
        <v>20</v>
      </c>
      <c r="H1531" s="38"/>
      <c r="I1531" s="32"/>
    </row>
    <row r="1532" spans="1:9" x14ac:dyDescent="0.25">
      <c r="A1532" s="26"/>
      <c r="B1532" s="9"/>
      <c r="C1532" s="37"/>
      <c r="D1532" s="27"/>
      <c r="E1532" s="30"/>
      <c r="F1532" s="28"/>
      <c r="G1532" s="29"/>
      <c r="H1532" s="38"/>
      <c r="I1532" s="32"/>
    </row>
    <row r="1533" spans="1:9" x14ac:dyDescent="0.25">
      <c r="A1533" s="26" t="s">
        <v>26</v>
      </c>
      <c r="B1533" s="9"/>
      <c r="C1533" s="44" t="s">
        <v>139</v>
      </c>
      <c r="D1533" s="27"/>
      <c r="E1533" s="30">
        <f>ROUND(105.26,0)</f>
        <v>105</v>
      </c>
      <c r="F1533" s="106"/>
      <c r="G1533" s="100" t="s">
        <v>20</v>
      </c>
      <c r="H1533" s="38"/>
      <c r="I1533" s="32"/>
    </row>
    <row r="1534" spans="1:9" x14ac:dyDescent="0.25">
      <c r="A1534" s="26"/>
      <c r="B1534" s="9"/>
      <c r="C1534" s="37"/>
      <c r="D1534" s="27"/>
      <c r="E1534" s="30"/>
      <c r="F1534" s="28"/>
      <c r="G1534" s="29"/>
      <c r="H1534" s="38"/>
      <c r="I1534" s="32"/>
    </row>
    <row r="1535" spans="1:9" ht="28.5" x14ac:dyDescent="0.25">
      <c r="A1535" s="26" t="s">
        <v>27</v>
      </c>
      <c r="B1535" s="9"/>
      <c r="C1535" s="44" t="s">
        <v>140</v>
      </c>
      <c r="D1535" s="27"/>
      <c r="E1535" s="30">
        <f>ROUND(23.36,0)</f>
        <v>23</v>
      </c>
      <c r="F1535" s="106"/>
      <c r="G1535" s="100" t="s">
        <v>20</v>
      </c>
      <c r="H1535" s="38"/>
      <c r="I1535" s="32"/>
    </row>
    <row r="1536" spans="1:9" x14ac:dyDescent="0.25">
      <c r="A1536" s="21"/>
      <c r="B1536" s="16"/>
      <c r="C1536" s="17"/>
      <c r="D1536" s="46"/>
      <c r="E1536" s="18"/>
      <c r="F1536" s="47"/>
      <c r="G1536" s="56"/>
      <c r="H1536" s="19"/>
      <c r="I1536" s="48"/>
    </row>
    <row r="1537" spans="1:11" x14ac:dyDescent="0.25">
      <c r="C1537" s="52"/>
      <c r="D1537" s="49"/>
      <c r="G1537" s="29"/>
      <c r="H1537" s="28"/>
      <c r="I1537" s="51"/>
    </row>
    <row r="1538" spans="1:11" ht="15.75" thickBot="1" x14ac:dyDescent="0.3">
      <c r="E1538" s="53" t="s">
        <v>6</v>
      </c>
      <c r="G1538" s="57"/>
      <c r="H1538" s="142"/>
      <c r="I1538" s="54"/>
    </row>
    <row r="1539" spans="1:11" ht="15.75" thickTop="1" x14ac:dyDescent="0.25">
      <c r="E1539" s="58"/>
    </row>
    <row r="1540" spans="1:11" x14ac:dyDescent="0.25">
      <c r="A1540" s="59"/>
      <c r="B1540" s="60"/>
      <c r="C1540" s="61"/>
      <c r="D1540" s="62"/>
      <c r="E1540" s="63"/>
      <c r="F1540" s="60"/>
      <c r="G1540" s="60"/>
      <c r="H1540" s="143"/>
      <c r="I1540" s="62"/>
    </row>
    <row r="1541" spans="1:11" x14ac:dyDescent="0.25">
      <c r="A1541" s="64"/>
      <c r="B1541" s="65"/>
      <c r="C1541" s="66"/>
      <c r="D1541" s="67"/>
      <c r="E1541" s="68"/>
      <c r="F1541" s="69"/>
      <c r="G1541" s="70"/>
      <c r="H1541" s="144" t="s">
        <v>2</v>
      </c>
      <c r="I1541" s="71"/>
    </row>
    <row r="1542" spans="1:11" x14ac:dyDescent="0.25">
      <c r="A1542" s="72"/>
      <c r="B1542" s="73"/>
      <c r="C1542" s="74" t="s">
        <v>0</v>
      </c>
      <c r="D1542" s="75"/>
      <c r="E1542" s="76" t="s">
        <v>3</v>
      </c>
      <c r="F1542" s="77"/>
      <c r="G1542" s="78" t="s">
        <v>1</v>
      </c>
      <c r="H1542" s="145" t="s">
        <v>4</v>
      </c>
      <c r="I1542" s="79" t="s">
        <v>5</v>
      </c>
    </row>
    <row r="1543" spans="1:11" x14ac:dyDescent="0.25">
      <c r="A1543" s="26"/>
      <c r="B1543" s="10"/>
      <c r="C1543" s="40"/>
      <c r="D1543" s="41"/>
      <c r="E1543" s="34"/>
      <c r="F1543" s="28"/>
      <c r="G1543" s="29"/>
      <c r="I1543" s="35"/>
    </row>
    <row r="1544" spans="1:11" ht="120" x14ac:dyDescent="0.25">
      <c r="A1544" s="26"/>
      <c r="B1544" s="9"/>
      <c r="C1544" s="7" t="s">
        <v>153</v>
      </c>
      <c r="D1544" s="27"/>
      <c r="E1544" s="30"/>
      <c r="F1544" s="28"/>
      <c r="G1544" s="29"/>
      <c r="I1544" s="32"/>
      <c r="K1544" s="7"/>
    </row>
    <row r="1545" spans="1:11" x14ac:dyDescent="0.25">
      <c r="A1545" s="26"/>
      <c r="B1545" s="9"/>
      <c r="C1545" s="44"/>
      <c r="D1545" s="27"/>
      <c r="E1545" s="30"/>
      <c r="F1545" s="28"/>
      <c r="G1545" s="29"/>
      <c r="I1545" s="32"/>
    </row>
    <row r="1546" spans="1:11" ht="28.5" x14ac:dyDescent="0.25">
      <c r="A1546" s="26" t="s">
        <v>9</v>
      </c>
      <c r="B1546" s="9"/>
      <c r="C1546" s="44" t="s">
        <v>141</v>
      </c>
      <c r="D1546" s="27"/>
      <c r="E1546" s="30">
        <f>ROUND((238.01*1)+(238.01*0.7),0)</f>
        <v>405</v>
      </c>
      <c r="F1546" s="28"/>
      <c r="G1546" s="100" t="s">
        <v>21</v>
      </c>
      <c r="I1546" s="32"/>
    </row>
    <row r="1547" spans="1:11" x14ac:dyDescent="0.25">
      <c r="A1547" s="26"/>
      <c r="B1547" s="9"/>
      <c r="C1547" s="44"/>
      <c r="D1547" s="27"/>
      <c r="E1547" s="30"/>
      <c r="F1547" s="28"/>
      <c r="G1547" s="29"/>
      <c r="I1547" s="32"/>
    </row>
    <row r="1548" spans="1:11" x14ac:dyDescent="0.25">
      <c r="A1548" s="26" t="s">
        <v>10</v>
      </c>
      <c r="B1548" s="9"/>
      <c r="C1548" s="44" t="s">
        <v>142</v>
      </c>
      <c r="D1548" s="27"/>
      <c r="E1548" s="30">
        <f>ROUND((185.9*3.3),0)</f>
        <v>613</v>
      </c>
      <c r="F1548" s="28"/>
      <c r="G1548" s="29" t="s">
        <v>21</v>
      </c>
      <c r="H1548" s="38"/>
      <c r="I1548" s="32"/>
    </row>
    <row r="1549" spans="1:11" x14ac:dyDescent="0.25">
      <c r="A1549" s="26"/>
      <c r="B1549" s="9"/>
      <c r="C1549" s="44"/>
      <c r="D1549" s="27"/>
      <c r="E1549" s="30"/>
      <c r="F1549" s="28"/>
      <c r="G1549" s="29"/>
      <c r="I1549" s="32"/>
    </row>
    <row r="1550" spans="1:11" x14ac:dyDescent="0.25">
      <c r="A1550" s="26" t="s">
        <v>11</v>
      </c>
      <c r="B1550" s="9"/>
      <c r="C1550" s="12" t="s">
        <v>34</v>
      </c>
      <c r="D1550" s="29"/>
      <c r="E1550" s="30">
        <f>ROUND(1891.28,0)</f>
        <v>1891</v>
      </c>
      <c r="F1550" s="28"/>
      <c r="G1550" s="29" t="s">
        <v>21</v>
      </c>
      <c r="H1550" s="38"/>
      <c r="I1550" s="32"/>
    </row>
    <row r="1551" spans="1:11" x14ac:dyDescent="0.25">
      <c r="A1551" s="26"/>
      <c r="B1551" s="9"/>
      <c r="C1551" s="44"/>
      <c r="D1551" s="27"/>
      <c r="E1551" s="30"/>
      <c r="F1551" s="28"/>
      <c r="G1551" s="29"/>
      <c r="I1551" s="32"/>
    </row>
    <row r="1552" spans="1:11" x14ac:dyDescent="0.25">
      <c r="A1552" s="26" t="s">
        <v>12</v>
      </c>
      <c r="B1552" s="9"/>
      <c r="C1552" s="39" t="s">
        <v>33</v>
      </c>
      <c r="D1552" s="27"/>
      <c r="E1552" s="30">
        <f>ROUND(3.2*3.2,0)</f>
        <v>10</v>
      </c>
      <c r="F1552" s="28"/>
      <c r="G1552" s="29" t="s">
        <v>21</v>
      </c>
      <c r="H1552" s="38"/>
      <c r="I1552" s="32"/>
    </row>
    <row r="1553" spans="1:9" x14ac:dyDescent="0.25">
      <c r="A1553" s="26"/>
      <c r="B1553" s="9"/>
      <c r="C1553" s="112"/>
      <c r="D1553" s="27"/>
      <c r="E1553" s="30"/>
      <c r="F1553" s="28"/>
      <c r="G1553" s="29"/>
      <c r="I1553" s="32"/>
    </row>
    <row r="1554" spans="1:9" ht="28.5" x14ac:dyDescent="0.25">
      <c r="A1554" s="26" t="s">
        <v>13</v>
      </c>
      <c r="B1554" s="9"/>
      <c r="C1554" s="37" t="s">
        <v>143</v>
      </c>
      <c r="D1554" s="27"/>
      <c r="E1554" s="30">
        <f>ROUND(3.2*1.6*4,0)</f>
        <v>20</v>
      </c>
      <c r="F1554" s="28"/>
      <c r="G1554" s="29" t="s">
        <v>21</v>
      </c>
      <c r="H1554" s="38"/>
      <c r="I1554" s="32"/>
    </row>
    <row r="1555" spans="1:9" x14ac:dyDescent="0.25">
      <c r="A1555" s="26"/>
      <c r="B1555" s="9"/>
      <c r="C1555" s="113"/>
      <c r="D1555" s="27"/>
      <c r="E1555" s="30"/>
      <c r="F1555" s="28"/>
      <c r="G1555" s="29"/>
      <c r="I1555" s="32"/>
    </row>
    <row r="1556" spans="1:9" x14ac:dyDescent="0.25">
      <c r="A1556" s="26" t="s">
        <v>14</v>
      </c>
      <c r="B1556" s="9"/>
      <c r="C1556" s="37" t="s">
        <v>144</v>
      </c>
      <c r="D1556" s="27"/>
      <c r="E1556" s="30">
        <f>ROUND(105.26*0.8,0)</f>
        <v>84</v>
      </c>
      <c r="F1556" s="28"/>
      <c r="G1556" s="29" t="s">
        <v>21</v>
      </c>
      <c r="H1556" s="38"/>
      <c r="I1556" s="32"/>
    </row>
    <row r="1557" spans="1:9" x14ac:dyDescent="0.25">
      <c r="A1557" s="26"/>
      <c r="B1557" s="9"/>
      <c r="C1557" s="112"/>
      <c r="D1557" s="27"/>
      <c r="E1557" s="103"/>
      <c r="F1557" s="28"/>
      <c r="G1557" s="29"/>
      <c r="I1557" s="32"/>
    </row>
    <row r="1558" spans="1:9" x14ac:dyDescent="0.25">
      <c r="A1558" s="26" t="s">
        <v>15</v>
      </c>
      <c r="B1558" s="9"/>
      <c r="C1558" s="37" t="s">
        <v>145</v>
      </c>
      <c r="D1558" s="27"/>
      <c r="E1558" s="30">
        <f>ROUND((105.26*0.3*2),0)</f>
        <v>63</v>
      </c>
      <c r="F1558" s="28"/>
      <c r="G1558" s="29" t="s">
        <v>21</v>
      </c>
      <c r="H1558" s="38"/>
      <c r="I1558" s="32"/>
    </row>
    <row r="1559" spans="1:9" x14ac:dyDescent="0.25">
      <c r="A1559" s="26"/>
      <c r="B1559" s="9"/>
      <c r="C1559" s="44"/>
      <c r="D1559" s="27"/>
      <c r="E1559" s="30"/>
      <c r="F1559" s="28"/>
      <c r="G1559" s="29"/>
      <c r="I1559" s="32"/>
    </row>
    <row r="1560" spans="1:9" x14ac:dyDescent="0.25">
      <c r="A1560" s="26" t="s">
        <v>16</v>
      </c>
      <c r="B1560" s="9"/>
      <c r="C1560" s="37" t="s">
        <v>146</v>
      </c>
      <c r="D1560" s="27"/>
      <c r="E1560" s="30">
        <f>ROUND(105.26*0.4,0)</f>
        <v>42</v>
      </c>
      <c r="F1560" s="28"/>
      <c r="G1560" s="29" t="s">
        <v>21</v>
      </c>
      <c r="H1560" s="38"/>
      <c r="I1560" s="32"/>
    </row>
    <row r="1561" spans="1:9" x14ac:dyDescent="0.25">
      <c r="A1561" s="26"/>
      <c r="B1561" s="9"/>
      <c r="C1561" s="37"/>
      <c r="D1561" s="27"/>
      <c r="E1561" s="30"/>
      <c r="F1561" s="28"/>
      <c r="G1561" s="29"/>
      <c r="I1561" s="32"/>
    </row>
    <row r="1562" spans="1:9" x14ac:dyDescent="0.25">
      <c r="A1562" s="26" t="s">
        <v>17</v>
      </c>
      <c r="B1562" s="9"/>
      <c r="C1562" s="37" t="s">
        <v>147</v>
      </c>
      <c r="D1562" s="27"/>
      <c r="E1562" s="30">
        <f>ROUND((105.26*5),0)</f>
        <v>526</v>
      </c>
      <c r="F1562" s="28"/>
      <c r="G1562" s="29" t="s">
        <v>21</v>
      </c>
      <c r="H1562" s="38"/>
      <c r="I1562" s="32"/>
    </row>
    <row r="1563" spans="1:9" x14ac:dyDescent="0.25">
      <c r="A1563" s="26"/>
      <c r="B1563" s="9"/>
      <c r="C1563" s="45"/>
      <c r="D1563" s="27"/>
      <c r="E1563" s="105"/>
      <c r="F1563" s="28"/>
      <c r="G1563" s="29"/>
      <c r="I1563" s="32"/>
    </row>
    <row r="1564" spans="1:9" ht="28.5" x14ac:dyDescent="0.25">
      <c r="A1564" s="26" t="s">
        <v>18</v>
      </c>
      <c r="B1564" s="9"/>
      <c r="C1564" s="44" t="s">
        <v>148</v>
      </c>
      <c r="D1564" s="27"/>
      <c r="E1564" s="30">
        <f>ROUND((4.4*3.2)+(1.4*3),0)</f>
        <v>18</v>
      </c>
      <c r="F1564" s="28"/>
      <c r="G1564" s="29" t="s">
        <v>21</v>
      </c>
      <c r="H1564" s="38"/>
      <c r="I1564" s="32"/>
    </row>
    <row r="1565" spans="1:9" x14ac:dyDescent="0.25">
      <c r="A1565" s="26"/>
      <c r="B1565" s="9"/>
      <c r="C1565" s="44"/>
      <c r="D1565" s="27"/>
      <c r="E1565" s="30"/>
      <c r="F1565" s="28"/>
      <c r="G1565" s="29"/>
      <c r="I1565" s="32"/>
    </row>
    <row r="1566" spans="1:9" ht="28.5" x14ac:dyDescent="0.25">
      <c r="A1566" s="26" t="s">
        <v>19</v>
      </c>
      <c r="B1566" s="9"/>
      <c r="C1566" s="44" t="s">
        <v>149</v>
      </c>
      <c r="D1566" s="27"/>
      <c r="E1566" s="30">
        <f>ROUND(13.18,0)</f>
        <v>13</v>
      </c>
      <c r="F1566" s="28"/>
      <c r="G1566" s="29" t="s">
        <v>20</v>
      </c>
      <c r="H1566" s="38"/>
      <c r="I1566" s="32"/>
    </row>
    <row r="1567" spans="1:9" x14ac:dyDescent="0.25">
      <c r="A1567" s="26"/>
      <c r="B1567" s="9"/>
      <c r="C1567" s="112"/>
      <c r="D1567" s="27"/>
      <c r="E1567" s="103"/>
      <c r="F1567" s="28"/>
      <c r="G1567" s="29"/>
      <c r="I1567" s="32"/>
    </row>
    <row r="1568" spans="1:9" ht="90" x14ac:dyDescent="0.25">
      <c r="A1568" s="26"/>
      <c r="B1568" s="9"/>
      <c r="C1568" s="45" t="s">
        <v>150</v>
      </c>
      <c r="D1568" s="27"/>
      <c r="E1568" s="105"/>
      <c r="F1568" s="28"/>
      <c r="G1568" s="29"/>
      <c r="H1568" s="38"/>
      <c r="I1568" s="32"/>
    </row>
    <row r="1569" spans="1:9" x14ac:dyDescent="0.25">
      <c r="A1569" s="26"/>
      <c r="B1569" s="9"/>
      <c r="C1569" s="44"/>
      <c r="D1569" s="27"/>
      <c r="E1569" s="105"/>
      <c r="F1569" s="28"/>
      <c r="G1569" s="29"/>
      <c r="I1569" s="32"/>
    </row>
    <row r="1570" spans="1:9" ht="57" x14ac:dyDescent="0.25">
      <c r="A1570" s="26" t="s">
        <v>26</v>
      </c>
      <c r="B1570" s="9"/>
      <c r="C1570" s="44" t="s">
        <v>151</v>
      </c>
      <c r="D1570" s="27"/>
      <c r="E1570" s="30">
        <f>ROUND(242.19,0)</f>
        <v>242</v>
      </c>
      <c r="F1570" s="28"/>
      <c r="G1570" s="29" t="s">
        <v>21</v>
      </c>
      <c r="H1570" s="38"/>
      <c r="I1570" s="32"/>
    </row>
    <row r="1571" spans="1:9" x14ac:dyDescent="0.25">
      <c r="A1571" s="26"/>
      <c r="B1571" s="9"/>
      <c r="C1571" s="37"/>
      <c r="D1571" s="27"/>
      <c r="E1571" s="30"/>
      <c r="F1571" s="28"/>
      <c r="G1571" s="29"/>
      <c r="I1571" s="32"/>
    </row>
    <row r="1572" spans="1:9" x14ac:dyDescent="0.25">
      <c r="A1572" s="26"/>
      <c r="B1572" s="9"/>
      <c r="C1572" s="37"/>
      <c r="D1572" s="27"/>
      <c r="E1572" s="30"/>
      <c r="F1572" s="28"/>
      <c r="G1572" s="29"/>
      <c r="I1572" s="32"/>
    </row>
    <row r="1573" spans="1:9" x14ac:dyDescent="0.25">
      <c r="A1573" s="26"/>
      <c r="B1573" s="9"/>
      <c r="C1573" s="45"/>
      <c r="D1573" s="27"/>
      <c r="E1573" s="105"/>
      <c r="F1573" s="28"/>
      <c r="G1573" s="29"/>
      <c r="I1573" s="32"/>
    </row>
    <row r="1574" spans="1:9" x14ac:dyDescent="0.25">
      <c r="A1574" s="26"/>
      <c r="B1574" s="9"/>
      <c r="C1574" s="44"/>
      <c r="D1574" s="27"/>
      <c r="E1574" s="30"/>
      <c r="F1574" s="28"/>
      <c r="G1574" s="29"/>
      <c r="I1574" s="32"/>
    </row>
    <row r="1575" spans="1:9" x14ac:dyDescent="0.25">
      <c r="A1575" s="26"/>
      <c r="B1575" s="9"/>
      <c r="C1575" s="44"/>
      <c r="D1575" s="27"/>
      <c r="E1575" s="30"/>
      <c r="F1575" s="28"/>
      <c r="G1575" s="29"/>
      <c r="I1575" s="32"/>
    </row>
    <row r="1576" spans="1:9" x14ac:dyDescent="0.25">
      <c r="A1576" s="26"/>
      <c r="B1576" s="9"/>
      <c r="C1576" s="44"/>
      <c r="D1576" s="27"/>
      <c r="E1576" s="30"/>
      <c r="F1576" s="28"/>
      <c r="G1576" s="29"/>
      <c r="I1576" s="32"/>
    </row>
    <row r="1577" spans="1:9" x14ac:dyDescent="0.25">
      <c r="A1577" s="21"/>
      <c r="B1577" s="16"/>
      <c r="C1577" s="17"/>
      <c r="D1577" s="46"/>
      <c r="E1577" s="18"/>
      <c r="F1577" s="47"/>
      <c r="G1577" s="56"/>
      <c r="H1577" s="19"/>
      <c r="I1577" s="48"/>
    </row>
    <row r="1578" spans="1:9" x14ac:dyDescent="0.25">
      <c r="C1578" s="52"/>
      <c r="D1578" s="49"/>
      <c r="G1578" s="29"/>
      <c r="H1578" s="28"/>
      <c r="I1578" s="51"/>
    </row>
    <row r="1579" spans="1:9" ht="15.75" thickBot="1" x14ac:dyDescent="0.3">
      <c r="E1579" s="53" t="s">
        <v>6</v>
      </c>
      <c r="G1579" s="57"/>
      <c r="H1579" s="142"/>
      <c r="I1579" s="54"/>
    </row>
    <row r="1580" spans="1:9" ht="15.75" thickTop="1" x14ac:dyDescent="0.25">
      <c r="E1580" s="58"/>
    </row>
    <row r="1581" spans="1:9" x14ac:dyDescent="0.25">
      <c r="A1581" s="59"/>
      <c r="B1581" s="60"/>
      <c r="C1581" s="61"/>
      <c r="D1581" s="62"/>
      <c r="E1581" s="63"/>
      <c r="F1581" s="60"/>
      <c r="G1581" s="60"/>
      <c r="H1581" s="143"/>
      <c r="I1581" s="62"/>
    </row>
    <row r="1582" spans="1:9" x14ac:dyDescent="0.25">
      <c r="A1582" s="64"/>
      <c r="B1582" s="65"/>
      <c r="C1582" s="66"/>
      <c r="D1582" s="67"/>
      <c r="E1582" s="68"/>
      <c r="F1582" s="69"/>
      <c r="G1582" s="70"/>
      <c r="H1582" s="144" t="s">
        <v>2</v>
      </c>
      <c r="I1582" s="71"/>
    </row>
    <row r="1583" spans="1:9" x14ac:dyDescent="0.25">
      <c r="A1583" s="72"/>
      <c r="B1583" s="73"/>
      <c r="C1583" s="74" t="s">
        <v>0</v>
      </c>
      <c r="D1583" s="75"/>
      <c r="E1583" s="76" t="s">
        <v>3</v>
      </c>
      <c r="F1583" s="77"/>
      <c r="G1583" s="78" t="s">
        <v>1</v>
      </c>
      <c r="H1583" s="145" t="s">
        <v>4</v>
      </c>
      <c r="I1583" s="79" t="s">
        <v>5</v>
      </c>
    </row>
    <row r="1584" spans="1:9" x14ac:dyDescent="0.25">
      <c r="A1584" s="64"/>
      <c r="B1584" s="60"/>
      <c r="C1584" s="114"/>
      <c r="D1584" s="115"/>
      <c r="E1584" s="116"/>
      <c r="F1584" s="117"/>
      <c r="G1584" s="118"/>
      <c r="H1584" s="148"/>
      <c r="I1584" s="119"/>
    </row>
    <row r="1585" spans="1:9" x14ac:dyDescent="0.25">
      <c r="A1585" s="120"/>
      <c r="B1585" s="60"/>
      <c r="C1585" s="114" t="s">
        <v>7</v>
      </c>
      <c r="D1585" s="121"/>
      <c r="E1585" s="122"/>
      <c r="F1585" s="117"/>
      <c r="G1585" s="123"/>
      <c r="H1585" s="143"/>
      <c r="I1585" s="124"/>
    </row>
    <row r="1586" spans="1:9" x14ac:dyDescent="0.25">
      <c r="A1586" s="120"/>
      <c r="B1586" s="60"/>
      <c r="C1586" s="114"/>
      <c r="D1586" s="121"/>
      <c r="E1586" s="122"/>
      <c r="F1586" s="117"/>
      <c r="G1586" s="123"/>
      <c r="H1586" s="143"/>
      <c r="I1586" s="124"/>
    </row>
    <row r="1587" spans="1:9" x14ac:dyDescent="0.25">
      <c r="A1587" s="120"/>
      <c r="B1587" s="60"/>
      <c r="C1587" s="114" t="s">
        <v>154</v>
      </c>
      <c r="D1587" s="121"/>
      <c r="E1587" s="122"/>
      <c r="F1587" s="117"/>
      <c r="G1587" s="123"/>
      <c r="H1587" s="143"/>
      <c r="I1587" s="125"/>
    </row>
    <row r="1588" spans="1:9" x14ac:dyDescent="0.25">
      <c r="A1588" s="120"/>
      <c r="B1588" s="60"/>
      <c r="C1588" s="59"/>
      <c r="D1588" s="126"/>
      <c r="E1588" s="122"/>
      <c r="F1588" s="117"/>
      <c r="G1588" s="123"/>
      <c r="H1588" s="143"/>
      <c r="I1588" s="127"/>
    </row>
    <row r="1589" spans="1:9" x14ac:dyDescent="0.25">
      <c r="A1589" s="120"/>
      <c r="B1589" s="60"/>
      <c r="C1589" s="114" t="s">
        <v>155</v>
      </c>
      <c r="D1589" s="121"/>
      <c r="E1589" s="122"/>
      <c r="F1589" s="117"/>
      <c r="G1589" s="123"/>
      <c r="H1589" s="143"/>
      <c r="I1589" s="125"/>
    </row>
    <row r="1590" spans="1:9" x14ac:dyDescent="0.25">
      <c r="A1590" s="120"/>
      <c r="B1590" s="60"/>
      <c r="C1590" s="59"/>
      <c r="D1590" s="126"/>
      <c r="E1590" s="122"/>
      <c r="F1590" s="117"/>
      <c r="G1590" s="126"/>
      <c r="H1590" s="143"/>
      <c r="I1590" s="127"/>
    </row>
    <row r="1591" spans="1:9" x14ac:dyDescent="0.25">
      <c r="A1591" s="120"/>
      <c r="B1591" s="60"/>
      <c r="C1591" s="114" t="s">
        <v>156</v>
      </c>
      <c r="D1591" s="121"/>
      <c r="E1591" s="122"/>
      <c r="F1591" s="117"/>
      <c r="G1591" s="123"/>
      <c r="H1591" s="143"/>
      <c r="I1591" s="125"/>
    </row>
    <row r="1592" spans="1:9" x14ac:dyDescent="0.25">
      <c r="A1592" s="120"/>
      <c r="B1592" s="60"/>
      <c r="C1592" s="61"/>
      <c r="D1592" s="126"/>
      <c r="E1592" s="122"/>
      <c r="F1592" s="117"/>
      <c r="G1592" s="126"/>
      <c r="H1592" s="128"/>
      <c r="I1592" s="127"/>
    </row>
    <row r="1593" spans="1:9" x14ac:dyDescent="0.25">
      <c r="A1593" s="120"/>
      <c r="B1593" s="60"/>
      <c r="C1593" s="114" t="s">
        <v>157</v>
      </c>
      <c r="D1593" s="121"/>
      <c r="E1593" s="122"/>
      <c r="F1593" s="117"/>
      <c r="G1593" s="126"/>
      <c r="H1593" s="128"/>
      <c r="I1593" s="125"/>
    </row>
    <row r="1594" spans="1:9" x14ac:dyDescent="0.25">
      <c r="A1594" s="120"/>
      <c r="B1594" s="60"/>
      <c r="C1594" s="61"/>
      <c r="D1594" s="126"/>
      <c r="E1594" s="122"/>
      <c r="F1594" s="117"/>
      <c r="G1594" s="126"/>
      <c r="H1594" s="128"/>
      <c r="I1594" s="127"/>
    </row>
    <row r="1595" spans="1:9" x14ac:dyDescent="0.25">
      <c r="A1595" s="120"/>
      <c r="B1595" s="60"/>
      <c r="C1595" s="114" t="s">
        <v>158</v>
      </c>
      <c r="D1595" s="121"/>
      <c r="E1595" s="122"/>
      <c r="F1595" s="117"/>
      <c r="G1595" s="123"/>
      <c r="H1595" s="128"/>
      <c r="I1595" s="125"/>
    </row>
    <row r="1596" spans="1:9" x14ac:dyDescent="0.25">
      <c r="A1596" s="120"/>
      <c r="B1596" s="60"/>
      <c r="C1596" s="61"/>
      <c r="D1596" s="121"/>
      <c r="E1596" s="122"/>
      <c r="F1596" s="117"/>
      <c r="G1596" s="123"/>
      <c r="H1596" s="128"/>
      <c r="I1596" s="128"/>
    </row>
    <row r="1597" spans="1:9" x14ac:dyDescent="0.25">
      <c r="A1597" s="120"/>
      <c r="B1597" s="60"/>
      <c r="C1597" s="114" t="s">
        <v>159</v>
      </c>
      <c r="D1597" s="121"/>
      <c r="E1597" s="122"/>
      <c r="F1597" s="117"/>
      <c r="G1597" s="126"/>
      <c r="H1597" s="128"/>
      <c r="I1597" s="129"/>
    </row>
    <row r="1598" spans="1:9" x14ac:dyDescent="0.25">
      <c r="A1598" s="120"/>
      <c r="B1598" s="60"/>
      <c r="C1598" s="130"/>
      <c r="D1598" s="121"/>
      <c r="E1598" s="122"/>
      <c r="F1598" s="117"/>
      <c r="G1598" s="123"/>
      <c r="H1598" s="128"/>
      <c r="I1598" s="128"/>
    </row>
    <row r="1599" spans="1:9" x14ac:dyDescent="0.25">
      <c r="A1599" s="120"/>
      <c r="B1599" s="60"/>
      <c r="C1599" s="114" t="s">
        <v>160</v>
      </c>
      <c r="D1599" s="121"/>
      <c r="E1599" s="122"/>
      <c r="F1599" s="117"/>
      <c r="G1599" s="123"/>
      <c r="H1599" s="128"/>
      <c r="I1599" s="129"/>
    </row>
    <row r="1600" spans="1:9" x14ac:dyDescent="0.25">
      <c r="A1600" s="120"/>
      <c r="B1600" s="60"/>
      <c r="C1600" s="61"/>
      <c r="D1600" s="121"/>
      <c r="E1600" s="122"/>
      <c r="F1600" s="117"/>
      <c r="G1600" s="126"/>
      <c r="H1600" s="128"/>
      <c r="I1600" s="128"/>
    </row>
    <row r="1601" spans="1:9" x14ac:dyDescent="0.25">
      <c r="A1601" s="120"/>
      <c r="B1601" s="60"/>
      <c r="C1601" s="114" t="s">
        <v>161</v>
      </c>
      <c r="D1601" s="121"/>
      <c r="E1601" s="122"/>
      <c r="F1601" s="117"/>
      <c r="G1601" s="126"/>
      <c r="H1601" s="128"/>
      <c r="I1601" s="129"/>
    </row>
    <row r="1602" spans="1:9" x14ac:dyDescent="0.25">
      <c r="A1602" s="120"/>
      <c r="B1602" s="60"/>
      <c r="C1602" s="61"/>
      <c r="D1602" s="121"/>
      <c r="E1602" s="122"/>
      <c r="F1602" s="117"/>
      <c r="G1602" s="126"/>
      <c r="H1602" s="128"/>
      <c r="I1602" s="128"/>
    </row>
    <row r="1603" spans="1:9" x14ac:dyDescent="0.25">
      <c r="A1603" s="120"/>
      <c r="B1603" s="60"/>
      <c r="C1603" s="114" t="s">
        <v>162</v>
      </c>
      <c r="D1603" s="121"/>
      <c r="E1603" s="122"/>
      <c r="F1603" s="117"/>
      <c r="G1603" s="123"/>
      <c r="H1603" s="128"/>
      <c r="I1603" s="129"/>
    </row>
    <row r="1604" spans="1:9" x14ac:dyDescent="0.25">
      <c r="A1604" s="120"/>
      <c r="B1604" s="60"/>
      <c r="C1604" s="130"/>
      <c r="D1604" s="121"/>
      <c r="E1604" s="122"/>
      <c r="F1604" s="117"/>
      <c r="G1604" s="123"/>
      <c r="H1604" s="128"/>
      <c r="I1604" s="128"/>
    </row>
    <row r="1605" spans="1:9" x14ac:dyDescent="0.25">
      <c r="A1605" s="120"/>
      <c r="B1605" s="60"/>
      <c r="C1605" s="114" t="s">
        <v>163</v>
      </c>
      <c r="D1605" s="126"/>
      <c r="E1605" s="122"/>
      <c r="F1605" s="117"/>
      <c r="G1605" s="126"/>
      <c r="H1605" s="128"/>
      <c r="I1605" s="129"/>
    </row>
    <row r="1606" spans="1:9" x14ac:dyDescent="0.25">
      <c r="A1606" s="120"/>
      <c r="B1606" s="60"/>
      <c r="C1606" s="130"/>
      <c r="D1606" s="126"/>
      <c r="E1606" s="122"/>
      <c r="F1606" s="117"/>
      <c r="G1606" s="126"/>
      <c r="H1606" s="128"/>
      <c r="I1606" s="128"/>
    </row>
    <row r="1607" spans="1:9" x14ac:dyDescent="0.25">
      <c r="A1607" s="120"/>
      <c r="B1607" s="60"/>
      <c r="C1607" s="114" t="s">
        <v>164</v>
      </c>
      <c r="D1607" s="121"/>
      <c r="E1607" s="122"/>
      <c r="F1607" s="117"/>
      <c r="G1607" s="126"/>
      <c r="H1607" s="128"/>
      <c r="I1607" s="129"/>
    </row>
    <row r="1608" spans="1:9" x14ac:dyDescent="0.25">
      <c r="A1608" s="120"/>
      <c r="B1608" s="60"/>
      <c r="C1608" s="130"/>
      <c r="D1608" s="126"/>
      <c r="E1608" s="122"/>
      <c r="F1608" s="117"/>
      <c r="G1608" s="126"/>
      <c r="H1608" s="128"/>
      <c r="I1608" s="128"/>
    </row>
    <row r="1609" spans="1:9" x14ac:dyDescent="0.25">
      <c r="A1609" s="120"/>
      <c r="B1609" s="60"/>
      <c r="C1609" s="114"/>
      <c r="D1609" s="126"/>
      <c r="E1609" s="122"/>
      <c r="F1609" s="117"/>
      <c r="G1609" s="126"/>
      <c r="H1609" s="128"/>
      <c r="I1609" s="129"/>
    </row>
    <row r="1610" spans="1:9" x14ac:dyDescent="0.25">
      <c r="A1610" s="120"/>
      <c r="B1610" s="60"/>
      <c r="C1610" s="130"/>
      <c r="D1610" s="126"/>
      <c r="E1610" s="122"/>
      <c r="F1610" s="117"/>
      <c r="G1610" s="126"/>
      <c r="H1610" s="128"/>
      <c r="I1610" s="128"/>
    </row>
    <row r="1611" spans="1:9" x14ac:dyDescent="0.25">
      <c r="A1611" s="120"/>
      <c r="B1611" s="60"/>
      <c r="C1611" s="114"/>
      <c r="D1611" s="126"/>
      <c r="E1611" s="122"/>
      <c r="F1611" s="117"/>
      <c r="G1611" s="126"/>
      <c r="H1611" s="128"/>
      <c r="I1611" s="129"/>
    </row>
    <row r="1612" spans="1:9" x14ac:dyDescent="0.25">
      <c r="A1612" s="120"/>
      <c r="B1612" s="60"/>
      <c r="C1612" s="130"/>
      <c r="D1612" s="121"/>
      <c r="E1612" s="122"/>
      <c r="F1612" s="117"/>
      <c r="G1612" s="126"/>
      <c r="H1612" s="128"/>
      <c r="I1612" s="128"/>
    </row>
    <row r="1613" spans="1:9" x14ac:dyDescent="0.25">
      <c r="A1613" s="120"/>
      <c r="B1613" s="60"/>
      <c r="C1613" s="114"/>
      <c r="D1613" s="126"/>
      <c r="E1613" s="122"/>
      <c r="F1613" s="117"/>
      <c r="G1613" s="126"/>
      <c r="H1613" s="128"/>
      <c r="I1613" s="129"/>
    </row>
    <row r="1614" spans="1:9" x14ac:dyDescent="0.25">
      <c r="A1614" s="120"/>
      <c r="B1614" s="60"/>
      <c r="C1614" s="61"/>
      <c r="D1614" s="126"/>
      <c r="E1614" s="122"/>
      <c r="F1614" s="117"/>
      <c r="G1614" s="126"/>
      <c r="H1614" s="128"/>
      <c r="I1614" s="128"/>
    </row>
    <row r="1615" spans="1:9" x14ac:dyDescent="0.25">
      <c r="A1615" s="120"/>
      <c r="B1615" s="60"/>
      <c r="C1615" s="114"/>
      <c r="D1615" s="126"/>
      <c r="E1615" s="122"/>
      <c r="F1615" s="117"/>
      <c r="G1615" s="123"/>
      <c r="H1615" s="128"/>
      <c r="I1615" s="129"/>
    </row>
    <row r="1616" spans="1:9" x14ac:dyDescent="0.25">
      <c r="A1616" s="120"/>
      <c r="B1616" s="60"/>
      <c r="C1616" s="61"/>
      <c r="D1616" s="126"/>
      <c r="E1616" s="122"/>
      <c r="F1616" s="117"/>
      <c r="G1616" s="126"/>
      <c r="H1616" s="128"/>
      <c r="I1616" s="128"/>
    </row>
    <row r="1617" spans="1:9" x14ac:dyDescent="0.25">
      <c r="A1617" s="120"/>
      <c r="B1617" s="60"/>
      <c r="C1617" s="61"/>
      <c r="D1617" s="126"/>
      <c r="E1617" s="122"/>
      <c r="F1617" s="117"/>
      <c r="G1617" s="126"/>
      <c r="H1617" s="128"/>
      <c r="I1617" s="128"/>
    </row>
    <row r="1618" spans="1:9" x14ac:dyDescent="0.25">
      <c r="A1618" s="120"/>
      <c r="B1618" s="60"/>
      <c r="C1618" s="61"/>
      <c r="D1618" s="126"/>
      <c r="E1618" s="122"/>
      <c r="F1618" s="117"/>
      <c r="G1618" s="126"/>
      <c r="H1618" s="128"/>
      <c r="I1618" s="128"/>
    </row>
    <row r="1619" spans="1:9" x14ac:dyDescent="0.25">
      <c r="A1619" s="120"/>
      <c r="B1619" s="60"/>
      <c r="C1619" s="61"/>
      <c r="D1619" s="126"/>
      <c r="E1619" s="122"/>
      <c r="F1619" s="117"/>
      <c r="G1619" s="126"/>
      <c r="H1619" s="128"/>
      <c r="I1619" s="128"/>
    </row>
    <row r="1620" spans="1:9" x14ac:dyDescent="0.25">
      <c r="A1620" s="120"/>
      <c r="B1620" s="60"/>
      <c r="C1620" s="61"/>
      <c r="D1620" s="126"/>
      <c r="E1620" s="122"/>
      <c r="F1620" s="117"/>
      <c r="G1620" s="126"/>
      <c r="H1620" s="128"/>
      <c r="I1620" s="128"/>
    </row>
    <row r="1621" spans="1:9" x14ac:dyDescent="0.25">
      <c r="A1621" s="120"/>
      <c r="B1621" s="60"/>
      <c r="C1621" s="61"/>
      <c r="D1621" s="126"/>
      <c r="E1621" s="122"/>
      <c r="F1621" s="117"/>
      <c r="G1621" s="126"/>
      <c r="H1621" s="128"/>
      <c r="I1621" s="128"/>
    </row>
    <row r="1622" spans="1:9" x14ac:dyDescent="0.25">
      <c r="A1622" s="120"/>
      <c r="B1622" s="60"/>
      <c r="C1622" s="61"/>
      <c r="D1622" s="126"/>
      <c r="E1622" s="122"/>
      <c r="F1622" s="117"/>
      <c r="G1622" s="123"/>
      <c r="H1622" s="128"/>
      <c r="I1622" s="128"/>
    </row>
    <row r="1623" spans="1:9" x14ac:dyDescent="0.25">
      <c r="A1623" s="120"/>
      <c r="B1623" s="60"/>
      <c r="C1623" s="130"/>
      <c r="D1623" s="126"/>
      <c r="E1623" s="122"/>
      <c r="F1623" s="117"/>
      <c r="G1623" s="123"/>
      <c r="H1623" s="128"/>
      <c r="I1623" s="128"/>
    </row>
    <row r="1624" spans="1:9" x14ac:dyDescent="0.25">
      <c r="A1624" s="120"/>
      <c r="B1624" s="60"/>
      <c r="C1624" s="130"/>
      <c r="D1624" s="126"/>
      <c r="E1624" s="122"/>
      <c r="F1624" s="117"/>
      <c r="G1624" s="123"/>
      <c r="H1624" s="128"/>
      <c r="I1624" s="131"/>
    </row>
    <row r="1625" spans="1:9" x14ac:dyDescent="0.25">
      <c r="A1625" s="120"/>
      <c r="B1625" s="60"/>
      <c r="C1625" s="130"/>
      <c r="D1625" s="126"/>
      <c r="E1625" s="122"/>
      <c r="F1625" s="117"/>
      <c r="G1625" s="123"/>
      <c r="H1625" s="128"/>
      <c r="I1625" s="131"/>
    </row>
    <row r="1626" spans="1:9" x14ac:dyDescent="0.25">
      <c r="A1626" s="120"/>
      <c r="B1626" s="60"/>
      <c r="C1626" s="130"/>
      <c r="D1626" s="126"/>
      <c r="E1626" s="122"/>
      <c r="F1626" s="117"/>
      <c r="G1626" s="123"/>
      <c r="H1626" s="128"/>
      <c r="I1626" s="131"/>
    </row>
    <row r="1627" spans="1:9" x14ac:dyDescent="0.25">
      <c r="A1627" s="120"/>
      <c r="B1627" s="60"/>
      <c r="C1627" s="130"/>
      <c r="D1627" s="126"/>
      <c r="E1627" s="122"/>
      <c r="F1627" s="117"/>
      <c r="G1627" s="123"/>
      <c r="H1627" s="128"/>
      <c r="I1627" s="131"/>
    </row>
    <row r="1628" spans="1:9" x14ac:dyDescent="0.25">
      <c r="A1628" s="120"/>
      <c r="B1628" s="60"/>
      <c r="C1628" s="130"/>
      <c r="D1628" s="126"/>
      <c r="E1628" s="122"/>
      <c r="F1628" s="117"/>
      <c r="G1628" s="123"/>
      <c r="H1628" s="128"/>
      <c r="I1628" s="131"/>
    </row>
    <row r="1629" spans="1:9" x14ac:dyDescent="0.25">
      <c r="A1629" s="120"/>
      <c r="B1629" s="60"/>
      <c r="C1629" s="130"/>
      <c r="D1629" s="126"/>
      <c r="E1629" s="122"/>
      <c r="F1629" s="117"/>
      <c r="G1629" s="123"/>
      <c r="H1629" s="128"/>
      <c r="I1629" s="131"/>
    </row>
    <row r="1630" spans="1:9" x14ac:dyDescent="0.25">
      <c r="A1630" s="120"/>
      <c r="B1630" s="60"/>
      <c r="C1630" s="130"/>
      <c r="D1630" s="126"/>
      <c r="E1630" s="122"/>
      <c r="F1630" s="117"/>
      <c r="G1630" s="123"/>
      <c r="H1630" s="128"/>
      <c r="I1630" s="131"/>
    </row>
    <row r="1631" spans="1:9" x14ac:dyDescent="0.25">
      <c r="A1631" s="120"/>
      <c r="B1631" s="60"/>
      <c r="C1631" s="130"/>
      <c r="D1631" s="126"/>
      <c r="E1631" s="122"/>
      <c r="F1631" s="117"/>
      <c r="G1631" s="123"/>
      <c r="H1631" s="128"/>
      <c r="I1631" s="131"/>
    </row>
    <row r="1632" spans="1:9" x14ac:dyDescent="0.25">
      <c r="A1632" s="120"/>
      <c r="B1632" s="60"/>
      <c r="C1632" s="130"/>
      <c r="D1632" s="126"/>
      <c r="E1632" s="122"/>
      <c r="F1632" s="117"/>
      <c r="G1632" s="123"/>
      <c r="H1632" s="128"/>
      <c r="I1632" s="131"/>
    </row>
    <row r="1633" spans="1:9" x14ac:dyDescent="0.25">
      <c r="A1633" s="120"/>
      <c r="B1633" s="60"/>
      <c r="C1633" s="130"/>
      <c r="D1633" s="126"/>
      <c r="E1633" s="122"/>
      <c r="F1633" s="117"/>
      <c r="G1633" s="123"/>
      <c r="H1633" s="128"/>
      <c r="I1633" s="131"/>
    </row>
    <row r="1634" spans="1:9" x14ac:dyDescent="0.25">
      <c r="A1634" s="120"/>
      <c r="B1634" s="60"/>
      <c r="C1634" s="61"/>
      <c r="D1634" s="126"/>
      <c r="E1634" s="122"/>
      <c r="F1634" s="117"/>
      <c r="G1634" s="123"/>
      <c r="H1634" s="128"/>
      <c r="I1634" s="131"/>
    </row>
    <row r="1635" spans="1:9" x14ac:dyDescent="0.25">
      <c r="A1635" s="72"/>
      <c r="B1635" s="132"/>
      <c r="C1635" s="133"/>
      <c r="D1635" s="134"/>
      <c r="E1635" s="135"/>
      <c r="F1635" s="136"/>
      <c r="G1635" s="137"/>
      <c r="H1635" s="145"/>
      <c r="I1635" s="138"/>
    </row>
    <row r="1636" spans="1:9" x14ac:dyDescent="0.25">
      <c r="A1636" s="139"/>
      <c r="B1636" s="60"/>
      <c r="C1636" s="61"/>
      <c r="D1636" s="62"/>
      <c r="E1636" s="122"/>
      <c r="F1636" s="60"/>
      <c r="G1636" s="123"/>
      <c r="H1636" s="143"/>
      <c r="I1636" s="124"/>
    </row>
    <row r="1637" spans="1:9" x14ac:dyDescent="0.25">
      <c r="A1637" s="59"/>
      <c r="B1637" s="60"/>
      <c r="C1637" s="61"/>
      <c r="D1637" s="62"/>
      <c r="E1637" s="122"/>
      <c r="F1637" s="60"/>
      <c r="G1637" s="123"/>
      <c r="H1637" s="143"/>
      <c r="I1637" s="124"/>
    </row>
    <row r="1638" spans="1:9" ht="15.75" thickBot="1" x14ac:dyDescent="0.3">
      <c r="A1638" s="59"/>
      <c r="B1638" s="60"/>
      <c r="C1638" s="61"/>
      <c r="D1638" s="62"/>
      <c r="E1638" s="140" t="s">
        <v>8</v>
      </c>
      <c r="F1638" s="60"/>
      <c r="G1638" s="123"/>
      <c r="H1638" s="149"/>
      <c r="I1638" s="141"/>
    </row>
    <row r="1639" spans="1:9" ht="15.75" thickTop="1" x14ac:dyDescent="0.25">
      <c r="A1639" s="59"/>
      <c r="B1639" s="60"/>
      <c r="C1639" s="61"/>
      <c r="D1639" s="62"/>
      <c r="E1639" s="63"/>
      <c r="F1639" s="60"/>
      <c r="G1639" s="60"/>
      <c r="H1639" s="143"/>
      <c r="I1639" s="62"/>
    </row>
  </sheetData>
  <pageMargins left="0.70866141732283472" right="0.70866141732283472" top="0.74803149606299213" bottom="0.74803149606299213" header="0.31496062992125984" footer="0.31496062992125984"/>
  <pageSetup paperSize="9" scale="88" orientation="portrait" r:id="rId1"/>
  <headerFooter alignWithMargins="0">
    <oddHeader>&amp;LLIMASSOL GREENS GOLF RESORT 
 APPARTMENTS - W.2022/024&amp;RΔΕΛΤΙΟ 3:
ΕΡΓΑΣΙΕΣ ΣΚΥΡΟΔΕΜΑΤΟΣ</oddHeader>
    <oddFooter>&amp;R3/&amp;P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25C3-1B82-4822-A2ED-804E4181BBC9}">
  <sheetPr>
    <tabColor rgb="FFFFFF00"/>
  </sheetPr>
  <dimension ref="A1:G697"/>
  <sheetViews>
    <sheetView showZeros="0" view="pageBreakPreview" topLeftCell="A598" zoomScale="50" zoomScaleNormal="100" zoomScaleSheetLayoutView="50" workbookViewId="0">
      <selection activeCell="D191" sqref="D191"/>
    </sheetView>
  </sheetViews>
  <sheetFormatPr defaultColWidth="8.85546875" defaultRowHeight="23.25" x14ac:dyDescent="0.35"/>
  <cols>
    <col min="1" max="1" width="3.42578125" style="406" customWidth="1"/>
    <col min="2" max="2" width="0.85546875" style="407" customWidth="1"/>
    <col min="3" max="3" width="61.5703125" style="408" customWidth="1"/>
    <col min="4" max="4" width="17.140625" style="393" customWidth="1"/>
    <col min="5" max="5" width="14.85546875" style="392" customWidth="1"/>
    <col min="6" max="6" width="20.7109375" style="393" customWidth="1"/>
    <col min="7" max="7" width="19.140625" style="392" customWidth="1"/>
    <col min="8" max="8" width="4" style="158" customWidth="1"/>
    <col min="9" max="16384" width="8.85546875" style="158"/>
  </cols>
  <sheetData>
    <row r="1" spans="1:7" x14ac:dyDescent="0.35">
      <c r="A1" s="383"/>
      <c r="B1" s="384"/>
      <c r="C1" s="385"/>
      <c r="D1" s="386"/>
      <c r="E1" s="387"/>
      <c r="F1" s="410"/>
      <c r="G1" s="387"/>
    </row>
    <row r="2" spans="1:7" s="160" customFormat="1" x14ac:dyDescent="0.35">
      <c r="A2" s="388"/>
      <c r="B2" s="389"/>
      <c r="C2" s="390"/>
      <c r="D2" s="391"/>
      <c r="E2" s="391"/>
      <c r="F2" s="393" t="s">
        <v>2</v>
      </c>
      <c r="G2" s="393"/>
    </row>
    <row r="3" spans="1:7" s="160" customFormat="1" ht="24" thickBot="1" x14ac:dyDescent="0.4">
      <c r="A3" s="394"/>
      <c r="B3" s="395"/>
      <c r="C3" s="396" t="s">
        <v>753</v>
      </c>
      <c r="D3" s="397" t="s">
        <v>3</v>
      </c>
      <c r="E3" s="397" t="s">
        <v>1</v>
      </c>
      <c r="F3" s="397" t="s">
        <v>4</v>
      </c>
      <c r="G3" s="397" t="s">
        <v>5</v>
      </c>
    </row>
    <row r="4" spans="1:7" s="160" customFormat="1" ht="14.25" customHeight="1" x14ac:dyDescent="0.35">
      <c r="A4" s="398"/>
      <c r="B4" s="399"/>
      <c r="C4" s="400"/>
      <c r="D4" s="409"/>
      <c r="E4" s="401"/>
      <c r="F4" s="411"/>
      <c r="G4" s="402">
        <f>ROUND(D4*F4,2)</f>
        <v>0</v>
      </c>
    </row>
    <row r="5" spans="1:7" s="160" customFormat="1" ht="46.5" x14ac:dyDescent="0.35">
      <c r="A5" s="398"/>
      <c r="B5" s="399"/>
      <c r="C5" s="403" t="s">
        <v>783</v>
      </c>
      <c r="D5" s="409"/>
      <c r="E5" s="401"/>
      <c r="F5" s="411"/>
      <c r="G5" s="402">
        <f>ROUND(D5*F5,2)</f>
        <v>0</v>
      </c>
    </row>
    <row r="6" spans="1:7" s="160" customFormat="1" ht="15.75" customHeight="1" x14ac:dyDescent="0.35">
      <c r="A6" s="398"/>
      <c r="B6" s="399"/>
      <c r="C6" s="403"/>
      <c r="D6" s="409"/>
      <c r="E6" s="401"/>
      <c r="F6" s="411"/>
      <c r="G6" s="402"/>
    </row>
    <row r="7" spans="1:7" s="160" customFormat="1" ht="116.25" x14ac:dyDescent="0.35">
      <c r="A7" s="398"/>
      <c r="B7" s="399"/>
      <c r="C7" s="403" t="s">
        <v>785</v>
      </c>
      <c r="D7" s="409"/>
      <c r="E7" s="401"/>
      <c r="F7" s="411"/>
      <c r="G7" s="402"/>
    </row>
    <row r="8" spans="1:7" s="160" customFormat="1" ht="18.75" customHeight="1" x14ac:dyDescent="0.35">
      <c r="A8" s="398"/>
      <c r="B8" s="399"/>
      <c r="C8" s="400"/>
      <c r="D8" s="409"/>
      <c r="E8" s="401"/>
      <c r="F8" s="411"/>
      <c r="G8" s="402">
        <f>ROUND(D8*F8,2)</f>
        <v>0</v>
      </c>
    </row>
    <row r="9" spans="1:7" s="160" customFormat="1" ht="46.5" x14ac:dyDescent="0.35">
      <c r="A9" s="398"/>
      <c r="B9" s="399"/>
      <c r="C9" s="400" t="s">
        <v>767</v>
      </c>
      <c r="D9" s="409">
        <v>1</v>
      </c>
      <c r="E9" s="401" t="s">
        <v>756</v>
      </c>
      <c r="F9" s="411"/>
      <c r="G9" s="402">
        <f>D9*F9</f>
        <v>0</v>
      </c>
    </row>
    <row r="10" spans="1:7" s="160" customFormat="1" ht="18" customHeight="1" x14ac:dyDescent="0.35">
      <c r="A10" s="398"/>
      <c r="B10" s="399"/>
      <c r="C10" s="400"/>
      <c r="D10" s="409"/>
      <c r="E10" s="401"/>
      <c r="F10" s="411"/>
      <c r="G10" s="402">
        <f>ROUND(D10*F10,2)</f>
        <v>0</v>
      </c>
    </row>
    <row r="11" spans="1:7" s="160" customFormat="1" ht="81.75" customHeight="1" x14ac:dyDescent="0.35">
      <c r="A11" s="398"/>
      <c r="B11" s="399"/>
      <c r="C11" s="400" t="s">
        <v>768</v>
      </c>
      <c r="D11" s="409">
        <v>1</v>
      </c>
      <c r="E11" s="401" t="s">
        <v>756</v>
      </c>
      <c r="F11" s="411"/>
      <c r="G11" s="402">
        <f>D11*F11</f>
        <v>0</v>
      </c>
    </row>
    <row r="12" spans="1:7" s="160" customFormat="1" ht="14.25" customHeight="1" x14ac:dyDescent="0.35">
      <c r="A12" s="398"/>
      <c r="B12" s="399"/>
      <c r="C12" s="400"/>
      <c r="D12" s="409"/>
      <c r="E12" s="401"/>
      <c r="F12" s="411"/>
      <c r="G12" s="402">
        <f>ROUND(D12*F12,2)</f>
        <v>0</v>
      </c>
    </row>
    <row r="13" spans="1:7" s="160" customFormat="1" ht="139.5" x14ac:dyDescent="0.35">
      <c r="A13" s="398"/>
      <c r="B13" s="399"/>
      <c r="C13" s="400" t="s">
        <v>763</v>
      </c>
      <c r="D13" s="409">
        <v>72</v>
      </c>
      <c r="E13" s="401" t="s">
        <v>26</v>
      </c>
      <c r="F13" s="411"/>
      <c r="G13" s="402">
        <f>D13*F13</f>
        <v>0</v>
      </c>
    </row>
    <row r="14" spans="1:7" s="160" customFormat="1" ht="18.75" customHeight="1" x14ac:dyDescent="0.35">
      <c r="A14" s="398"/>
      <c r="B14" s="399"/>
      <c r="C14" s="400"/>
      <c r="D14" s="409"/>
      <c r="E14" s="401"/>
      <c r="F14" s="411"/>
      <c r="G14" s="402">
        <f>ROUND(D14*F14,2)</f>
        <v>0</v>
      </c>
    </row>
    <row r="15" spans="1:7" s="160" customFormat="1" ht="123" customHeight="1" x14ac:dyDescent="0.35">
      <c r="A15" s="398"/>
      <c r="B15" s="399"/>
      <c r="C15" s="400" t="s">
        <v>754</v>
      </c>
      <c r="D15" s="409">
        <v>72</v>
      </c>
      <c r="E15" s="401" t="s">
        <v>26</v>
      </c>
      <c r="F15" s="411"/>
      <c r="G15" s="402">
        <f>D15*F15</f>
        <v>0</v>
      </c>
    </row>
    <row r="16" spans="1:7" s="160" customFormat="1" ht="17.25" customHeight="1" x14ac:dyDescent="0.35">
      <c r="A16" s="398"/>
      <c r="B16" s="399"/>
      <c r="C16" s="400"/>
      <c r="D16" s="409"/>
      <c r="E16" s="401"/>
      <c r="F16" s="411"/>
      <c r="G16" s="402">
        <f>ROUND(D16*F16,2)</f>
        <v>0</v>
      </c>
    </row>
    <row r="17" spans="1:7" s="160" customFormat="1" ht="46.5" x14ac:dyDescent="0.35">
      <c r="A17" s="398"/>
      <c r="B17" s="399"/>
      <c r="C17" s="435" t="s">
        <v>755</v>
      </c>
      <c r="D17" s="442">
        <v>12</v>
      </c>
      <c r="E17" s="437" t="s">
        <v>883</v>
      </c>
      <c r="F17" s="438"/>
      <c r="G17" s="439">
        <f>D17*F17</f>
        <v>0</v>
      </c>
    </row>
    <row r="18" spans="1:7" s="160" customFormat="1" ht="17.25" customHeight="1" x14ac:dyDescent="0.35">
      <c r="A18" s="398"/>
      <c r="B18" s="399"/>
      <c r="C18" s="400"/>
      <c r="D18" s="409"/>
      <c r="E18" s="401"/>
      <c r="F18" s="411"/>
      <c r="G18" s="402">
        <f>ROUND(D18*F18,2)</f>
        <v>0</v>
      </c>
    </row>
    <row r="19" spans="1:7" s="160" customFormat="1" ht="46.5" x14ac:dyDescent="0.35">
      <c r="A19" s="398"/>
      <c r="B19" s="399"/>
      <c r="C19" s="400" t="s">
        <v>757</v>
      </c>
      <c r="D19" s="409">
        <v>6</v>
      </c>
      <c r="E19" s="414" t="s">
        <v>884</v>
      </c>
      <c r="F19" s="411"/>
      <c r="G19" s="402">
        <f>D19*F19</f>
        <v>0</v>
      </c>
    </row>
    <row r="20" spans="1:7" s="160" customFormat="1" ht="16.5" customHeight="1" x14ac:dyDescent="0.35">
      <c r="A20" s="398"/>
      <c r="B20" s="399"/>
      <c r="C20" s="400"/>
      <c r="D20" s="409"/>
      <c r="E20" s="401"/>
      <c r="F20" s="411"/>
      <c r="G20" s="402">
        <f>ROUND(D20*F20,2)</f>
        <v>0</v>
      </c>
    </row>
    <row r="21" spans="1:7" s="160" customFormat="1" ht="116.25" x14ac:dyDescent="0.35">
      <c r="A21" s="398"/>
      <c r="B21" s="399"/>
      <c r="C21" s="400" t="s">
        <v>758</v>
      </c>
      <c r="D21" s="409">
        <v>85</v>
      </c>
      <c r="E21" s="401" t="s">
        <v>26</v>
      </c>
      <c r="F21" s="411"/>
      <c r="G21" s="402">
        <f>D21*F21</f>
        <v>0</v>
      </c>
    </row>
    <row r="22" spans="1:7" s="160" customFormat="1" ht="18.75" customHeight="1" x14ac:dyDescent="0.35">
      <c r="A22" s="398"/>
      <c r="B22" s="399"/>
      <c r="C22" s="400"/>
      <c r="D22" s="409"/>
      <c r="E22" s="401"/>
      <c r="F22" s="411"/>
      <c r="G22" s="402">
        <f>ROUND(D22*F22,2)</f>
        <v>0</v>
      </c>
    </row>
    <row r="23" spans="1:7" s="160" customFormat="1" ht="116.25" x14ac:dyDescent="0.35">
      <c r="A23" s="398"/>
      <c r="B23" s="399"/>
      <c r="C23" s="400" t="s">
        <v>759</v>
      </c>
      <c r="D23" s="446">
        <v>16</v>
      </c>
      <c r="E23" s="401" t="s">
        <v>761</v>
      </c>
      <c r="F23" s="411"/>
      <c r="G23" s="402">
        <f>D23*F23</f>
        <v>0</v>
      </c>
    </row>
    <row r="24" spans="1:7" s="160" customFormat="1" ht="24" thickBot="1" x14ac:dyDescent="0.4">
      <c r="A24" s="398"/>
      <c r="B24" s="399"/>
      <c r="C24" s="400"/>
      <c r="D24" s="409"/>
      <c r="E24" s="401"/>
      <c r="F24" s="411"/>
      <c r="G24" s="402">
        <f>ROUND(D24*F24,2)</f>
        <v>0</v>
      </c>
    </row>
    <row r="25" spans="1:7" s="160" customFormat="1" ht="24" thickBot="1" x14ac:dyDescent="0.4">
      <c r="A25" s="398"/>
      <c r="B25" s="399"/>
      <c r="C25" s="404" t="s">
        <v>760</v>
      </c>
      <c r="D25" s="409"/>
      <c r="E25" s="401"/>
      <c r="F25" s="411"/>
      <c r="G25" s="405">
        <f>SUM(G7:G24)</f>
        <v>0</v>
      </c>
    </row>
    <row r="26" spans="1:7" s="160" customFormat="1" ht="24" thickBot="1" x14ac:dyDescent="0.4">
      <c r="A26" s="398"/>
      <c r="B26" s="399"/>
      <c r="C26" s="400"/>
      <c r="D26" s="409"/>
      <c r="E26" s="401"/>
      <c r="F26" s="411"/>
      <c r="G26" s="402">
        <f>ROUND(D26*F26,2)</f>
        <v>0</v>
      </c>
    </row>
    <row r="27" spans="1:7" x14ac:dyDescent="0.35">
      <c r="A27" s="383"/>
      <c r="B27" s="384"/>
      <c r="C27" s="385"/>
      <c r="D27" s="386"/>
      <c r="E27" s="387"/>
      <c r="F27" s="410"/>
      <c r="G27" s="387"/>
    </row>
    <row r="28" spans="1:7" s="160" customFormat="1" x14ac:dyDescent="0.35">
      <c r="A28" s="388"/>
      <c r="B28" s="389"/>
      <c r="C28" s="390"/>
      <c r="D28" s="391"/>
      <c r="E28" s="391"/>
      <c r="F28" s="393" t="s">
        <v>2</v>
      </c>
      <c r="G28" s="393"/>
    </row>
    <row r="29" spans="1:7" s="160" customFormat="1" ht="24" thickBot="1" x14ac:dyDescent="0.4">
      <c r="A29" s="394"/>
      <c r="B29" s="395"/>
      <c r="C29" s="396" t="s">
        <v>753</v>
      </c>
      <c r="D29" s="397" t="s">
        <v>3</v>
      </c>
      <c r="E29" s="397" t="s">
        <v>1</v>
      </c>
      <c r="F29" s="397" t="s">
        <v>4</v>
      </c>
      <c r="G29" s="397" t="s">
        <v>5</v>
      </c>
    </row>
    <row r="30" spans="1:7" s="160" customFormat="1" x14ac:dyDescent="0.35">
      <c r="A30" s="398"/>
      <c r="B30" s="399"/>
      <c r="C30" s="400"/>
      <c r="D30" s="409"/>
      <c r="E30" s="401"/>
      <c r="F30" s="411"/>
      <c r="G30" s="402">
        <f>ROUND(D30*F30,2)</f>
        <v>0</v>
      </c>
    </row>
    <row r="31" spans="1:7" s="160" customFormat="1" ht="46.5" x14ac:dyDescent="0.35">
      <c r="A31" s="398"/>
      <c r="B31" s="399"/>
      <c r="C31" s="403" t="s">
        <v>784</v>
      </c>
      <c r="D31" s="409"/>
      <c r="E31" s="401"/>
      <c r="F31" s="411"/>
      <c r="G31" s="402">
        <f>ROUND(D31*F31,2)</f>
        <v>0</v>
      </c>
    </row>
    <row r="32" spans="1:7" s="160" customFormat="1" x14ac:dyDescent="0.35">
      <c r="A32" s="398"/>
      <c r="B32" s="399"/>
      <c r="C32" s="400"/>
      <c r="D32" s="409"/>
      <c r="E32" s="401"/>
      <c r="F32" s="411"/>
      <c r="G32" s="402">
        <f>ROUND(D32*F32,2)</f>
        <v>0</v>
      </c>
    </row>
    <row r="33" spans="1:7" s="160" customFormat="1" ht="116.25" x14ac:dyDescent="0.35">
      <c r="A33" s="398"/>
      <c r="B33" s="399"/>
      <c r="C33" s="400" t="s">
        <v>769</v>
      </c>
      <c r="D33" s="446">
        <v>24</v>
      </c>
      <c r="E33" s="401" t="s">
        <v>761</v>
      </c>
      <c r="F33" s="411"/>
      <c r="G33" s="402">
        <f>D33*F33</f>
        <v>0</v>
      </c>
    </row>
    <row r="34" spans="1:7" s="160" customFormat="1" x14ac:dyDescent="0.35">
      <c r="A34" s="398"/>
      <c r="B34" s="399"/>
      <c r="C34" s="400"/>
      <c r="D34" s="409"/>
      <c r="E34" s="401"/>
      <c r="F34" s="411"/>
      <c r="G34" s="402">
        <f>ROUND(D34*F34,2)</f>
        <v>0</v>
      </c>
    </row>
    <row r="35" spans="1:7" s="160" customFormat="1" ht="116.25" x14ac:dyDescent="0.35">
      <c r="A35" s="398"/>
      <c r="B35" s="399"/>
      <c r="C35" s="435" t="s">
        <v>762</v>
      </c>
      <c r="D35" s="442">
        <v>42</v>
      </c>
      <c r="E35" s="440" t="s">
        <v>761</v>
      </c>
      <c r="F35" s="438"/>
      <c r="G35" s="439">
        <f>D35*F35</f>
        <v>0</v>
      </c>
    </row>
    <row r="36" spans="1:7" s="160" customFormat="1" x14ac:dyDescent="0.35">
      <c r="A36" s="398"/>
      <c r="B36" s="399"/>
      <c r="C36" s="400"/>
      <c r="D36" s="409"/>
      <c r="E36" s="401"/>
      <c r="F36" s="411"/>
      <c r="G36" s="402">
        <f>ROUND(D36*F36,2)</f>
        <v>0</v>
      </c>
    </row>
    <row r="37" spans="1:7" s="160" customFormat="1" ht="46.5" x14ac:dyDescent="0.35">
      <c r="A37" s="398"/>
      <c r="B37" s="399"/>
      <c r="C37" s="400" t="s">
        <v>764</v>
      </c>
      <c r="D37" s="409">
        <v>12</v>
      </c>
      <c r="E37" s="401" t="s">
        <v>761</v>
      </c>
      <c r="F37" s="411"/>
      <c r="G37" s="402">
        <f>D37*F37</f>
        <v>0</v>
      </c>
    </row>
    <row r="38" spans="1:7" s="160" customFormat="1" x14ac:dyDescent="0.35">
      <c r="A38" s="398"/>
      <c r="B38" s="399"/>
      <c r="C38" s="400"/>
      <c r="D38" s="409"/>
      <c r="E38" s="401"/>
      <c r="F38" s="411"/>
      <c r="G38" s="402">
        <f>ROUND(D38*F38,2)</f>
        <v>0</v>
      </c>
    </row>
    <row r="39" spans="1:7" s="160" customFormat="1" ht="46.5" x14ac:dyDescent="0.35">
      <c r="A39" s="398"/>
      <c r="B39" s="399"/>
      <c r="C39" s="400" t="s">
        <v>765</v>
      </c>
      <c r="D39" s="409">
        <v>12</v>
      </c>
      <c r="E39" s="401" t="s">
        <v>761</v>
      </c>
      <c r="F39" s="411"/>
      <c r="G39" s="402">
        <f>D39*F39</f>
        <v>0</v>
      </c>
    </row>
    <row r="40" spans="1:7" s="160" customFormat="1" x14ac:dyDescent="0.35">
      <c r="A40" s="398"/>
      <c r="B40" s="399"/>
      <c r="C40" s="400"/>
      <c r="D40" s="409"/>
      <c r="E40" s="401"/>
      <c r="F40" s="411"/>
      <c r="G40" s="402">
        <f>ROUND(D40*F40,2)</f>
        <v>0</v>
      </c>
    </row>
    <row r="41" spans="1:7" s="160" customFormat="1" ht="46.5" x14ac:dyDescent="0.35">
      <c r="A41" s="398"/>
      <c r="B41" s="399"/>
      <c r="C41" s="400" t="s">
        <v>770</v>
      </c>
      <c r="D41" s="409">
        <v>6</v>
      </c>
      <c r="E41" s="401" t="s">
        <v>761</v>
      </c>
      <c r="F41" s="411"/>
      <c r="G41" s="402">
        <f>D41*F41</f>
        <v>0</v>
      </c>
    </row>
    <row r="42" spans="1:7" s="160" customFormat="1" x14ac:dyDescent="0.35">
      <c r="A42" s="398"/>
      <c r="B42" s="399"/>
      <c r="C42" s="400"/>
      <c r="D42" s="409"/>
      <c r="E42" s="401"/>
      <c r="F42" s="411"/>
      <c r="G42" s="402">
        <f>ROUND(D42*F42,2)</f>
        <v>0</v>
      </c>
    </row>
    <row r="43" spans="1:7" s="160" customFormat="1" ht="186" x14ac:dyDescent="0.35">
      <c r="A43" s="398"/>
      <c r="B43" s="399"/>
      <c r="C43" s="400" t="s">
        <v>766</v>
      </c>
      <c r="D43" s="409">
        <v>6</v>
      </c>
      <c r="E43" s="401" t="s">
        <v>761</v>
      </c>
      <c r="F43" s="411"/>
      <c r="G43" s="402">
        <f>D43*F43</f>
        <v>0</v>
      </c>
    </row>
    <row r="44" spans="1:7" s="160" customFormat="1" x14ac:dyDescent="0.35">
      <c r="A44" s="398"/>
      <c r="B44" s="399"/>
      <c r="C44" s="400"/>
      <c r="D44" s="409"/>
      <c r="E44" s="401"/>
      <c r="F44" s="411"/>
      <c r="G44" s="402">
        <f>ROUND(D44*F44,2)</f>
        <v>0</v>
      </c>
    </row>
    <row r="45" spans="1:7" s="160" customFormat="1" ht="69.75" x14ac:dyDescent="0.35">
      <c r="A45" s="398"/>
      <c r="B45" s="399"/>
      <c r="C45" s="400" t="s">
        <v>771</v>
      </c>
      <c r="D45" s="409">
        <v>34</v>
      </c>
      <c r="E45" s="401" t="s">
        <v>772</v>
      </c>
      <c r="F45" s="411"/>
      <c r="G45" s="402">
        <f>D45*F45</f>
        <v>0</v>
      </c>
    </row>
    <row r="46" spans="1:7" s="160" customFormat="1" x14ac:dyDescent="0.35">
      <c r="A46" s="398"/>
      <c r="B46" s="399"/>
      <c r="C46" s="400"/>
      <c r="D46" s="409"/>
      <c r="E46" s="401"/>
      <c r="F46" s="411"/>
      <c r="G46" s="402">
        <f>ROUND(D46*F46,2)</f>
        <v>0</v>
      </c>
    </row>
    <row r="47" spans="1:7" s="160" customFormat="1" ht="93" x14ac:dyDescent="0.35">
      <c r="A47" s="398"/>
      <c r="B47" s="399"/>
      <c r="C47" s="435" t="s">
        <v>773</v>
      </c>
      <c r="D47" s="442">
        <v>382</v>
      </c>
      <c r="E47" s="440" t="s">
        <v>772</v>
      </c>
      <c r="F47" s="438">
        <v>0</v>
      </c>
      <c r="G47" s="439">
        <f>D47*F47</f>
        <v>0</v>
      </c>
    </row>
    <row r="48" spans="1:7" s="160" customFormat="1" ht="24" thickBot="1" x14ac:dyDescent="0.4">
      <c r="A48" s="398"/>
      <c r="B48" s="399"/>
      <c r="C48" s="400"/>
      <c r="D48" s="409"/>
      <c r="E48" s="401"/>
      <c r="F48" s="411"/>
      <c r="G48" s="402">
        <f>ROUND(D48*F48,2)</f>
        <v>0</v>
      </c>
    </row>
    <row r="49" spans="1:7" s="160" customFormat="1" ht="24" thickBot="1" x14ac:dyDescent="0.4">
      <c r="A49" s="398"/>
      <c r="B49" s="399"/>
      <c r="C49" s="404" t="s">
        <v>760</v>
      </c>
      <c r="D49" s="409"/>
      <c r="E49" s="401"/>
      <c r="F49" s="411"/>
      <c r="G49" s="405">
        <f>SUM(G33:G48)</f>
        <v>0</v>
      </c>
    </row>
    <row r="50" spans="1:7" s="160" customFormat="1" ht="24" thickBot="1" x14ac:dyDescent="0.4">
      <c r="A50" s="398"/>
      <c r="B50" s="399"/>
      <c r="C50" s="400"/>
      <c r="D50" s="409"/>
      <c r="E50" s="401"/>
      <c r="F50" s="411"/>
      <c r="G50" s="402">
        <f>ROUND(D50*F50,2)</f>
        <v>0</v>
      </c>
    </row>
    <row r="51" spans="1:7" x14ac:dyDescent="0.35">
      <c r="A51" s="383"/>
      <c r="B51" s="384"/>
      <c r="C51" s="385"/>
      <c r="D51" s="386"/>
      <c r="E51" s="387"/>
      <c r="F51" s="410"/>
      <c r="G51" s="387"/>
    </row>
    <row r="52" spans="1:7" s="160" customFormat="1" x14ac:dyDescent="0.35">
      <c r="A52" s="388"/>
      <c r="B52" s="389"/>
      <c r="C52" s="390"/>
      <c r="D52" s="391"/>
      <c r="E52" s="391"/>
      <c r="F52" s="393" t="s">
        <v>2</v>
      </c>
      <c r="G52" s="393"/>
    </row>
    <row r="53" spans="1:7" s="160" customFormat="1" ht="24" thickBot="1" x14ac:dyDescent="0.4">
      <c r="A53" s="394"/>
      <c r="B53" s="395"/>
      <c r="C53" s="396" t="s">
        <v>753</v>
      </c>
      <c r="D53" s="397" t="s">
        <v>3</v>
      </c>
      <c r="E53" s="397" t="s">
        <v>1</v>
      </c>
      <c r="F53" s="397" t="s">
        <v>4</v>
      </c>
      <c r="G53" s="397" t="s">
        <v>5</v>
      </c>
    </row>
    <row r="54" spans="1:7" s="160" customFormat="1" x14ac:dyDescent="0.35">
      <c r="A54" s="398"/>
      <c r="B54" s="399"/>
      <c r="C54" s="400"/>
      <c r="D54" s="409"/>
      <c r="E54" s="401"/>
      <c r="F54" s="411"/>
      <c r="G54" s="402">
        <f>ROUND(D54*F54,2)</f>
        <v>0</v>
      </c>
    </row>
    <row r="55" spans="1:7" s="160" customFormat="1" ht="46.5" x14ac:dyDescent="0.35">
      <c r="A55" s="398"/>
      <c r="B55" s="399"/>
      <c r="C55" s="403" t="s">
        <v>784</v>
      </c>
      <c r="D55" s="409"/>
      <c r="E55" s="401"/>
      <c r="F55" s="411"/>
      <c r="G55" s="402">
        <f>ROUND(D55*F55,2)</f>
        <v>0</v>
      </c>
    </row>
    <row r="56" spans="1:7" s="160" customFormat="1" x14ac:dyDescent="0.35">
      <c r="A56" s="398"/>
      <c r="B56" s="399"/>
      <c r="C56" s="400"/>
      <c r="D56" s="409"/>
      <c r="E56" s="401"/>
      <c r="F56" s="411"/>
      <c r="G56" s="402">
        <f>ROUND(D56*F56,2)</f>
        <v>0</v>
      </c>
    </row>
    <row r="57" spans="1:7" s="160" customFormat="1" ht="116.25" x14ac:dyDescent="0.35">
      <c r="A57" s="398"/>
      <c r="B57" s="399"/>
      <c r="C57" s="400" t="s">
        <v>890</v>
      </c>
      <c r="D57" s="409">
        <v>130</v>
      </c>
      <c r="E57" s="401" t="s">
        <v>772</v>
      </c>
      <c r="F57" s="411"/>
      <c r="G57" s="402">
        <f>D57*F57</f>
        <v>0</v>
      </c>
    </row>
    <row r="58" spans="1:7" s="160" customFormat="1" x14ac:dyDescent="0.35">
      <c r="A58" s="398"/>
      <c r="B58" s="399"/>
      <c r="C58" s="400"/>
      <c r="D58" s="409"/>
      <c r="E58" s="401"/>
      <c r="F58" s="411"/>
      <c r="G58" s="402">
        <f t="shared" ref="G58:G76" si="0">ROUND(D58*F58,2)</f>
        <v>0</v>
      </c>
    </row>
    <row r="59" spans="1:7" s="160" customFormat="1" ht="69.75" x14ac:dyDescent="0.35">
      <c r="A59" s="398"/>
      <c r="B59" s="399"/>
      <c r="C59" s="400" t="s">
        <v>832</v>
      </c>
      <c r="D59" s="409">
        <v>130</v>
      </c>
      <c r="E59" s="401" t="s">
        <v>772</v>
      </c>
      <c r="F59" s="411"/>
      <c r="G59" s="402">
        <f>D59*F59</f>
        <v>0</v>
      </c>
    </row>
    <row r="60" spans="1:7" s="160" customFormat="1" x14ac:dyDescent="0.35">
      <c r="A60" s="398"/>
      <c r="B60" s="399"/>
      <c r="C60" s="400"/>
      <c r="D60" s="409"/>
      <c r="E60" s="401"/>
      <c r="F60" s="411"/>
      <c r="G60" s="402">
        <f t="shared" si="0"/>
        <v>0</v>
      </c>
    </row>
    <row r="61" spans="1:7" s="160" customFormat="1" ht="46.5" x14ac:dyDescent="0.35">
      <c r="A61" s="398"/>
      <c r="B61" s="399"/>
      <c r="C61" s="435" t="s">
        <v>774</v>
      </c>
      <c r="D61" s="442">
        <v>130</v>
      </c>
      <c r="E61" s="440" t="s">
        <v>772</v>
      </c>
      <c r="F61" s="438"/>
      <c r="G61" s="439">
        <f>D61*F61</f>
        <v>0</v>
      </c>
    </row>
    <row r="62" spans="1:7" s="160" customFormat="1" x14ac:dyDescent="0.35">
      <c r="A62" s="398"/>
      <c r="B62" s="399"/>
      <c r="C62" s="400"/>
      <c r="D62" s="409"/>
      <c r="E62" s="401"/>
      <c r="F62" s="411"/>
      <c r="G62" s="402">
        <f t="shared" si="0"/>
        <v>0</v>
      </c>
    </row>
    <row r="63" spans="1:7" s="160" customFormat="1" ht="93" x14ac:dyDescent="0.35">
      <c r="A63" s="398"/>
      <c r="B63" s="399"/>
      <c r="C63" s="400" t="s">
        <v>775</v>
      </c>
      <c r="D63" s="409">
        <v>76</v>
      </c>
      <c r="E63" s="401" t="s">
        <v>772</v>
      </c>
      <c r="F63" s="411"/>
      <c r="G63" s="402">
        <f>D63*F63</f>
        <v>0</v>
      </c>
    </row>
    <row r="64" spans="1:7" s="160" customFormat="1" x14ac:dyDescent="0.35">
      <c r="A64" s="398"/>
      <c r="B64" s="399"/>
      <c r="C64" s="400"/>
      <c r="D64" s="409"/>
      <c r="E64" s="401"/>
      <c r="F64" s="411"/>
      <c r="G64" s="402">
        <f t="shared" si="0"/>
        <v>0</v>
      </c>
    </row>
    <row r="65" spans="1:7" s="160" customFormat="1" ht="46.5" x14ac:dyDescent="0.35">
      <c r="A65" s="398"/>
      <c r="B65" s="399"/>
      <c r="C65" s="400" t="s">
        <v>776</v>
      </c>
      <c r="D65" s="409">
        <v>76</v>
      </c>
      <c r="E65" s="401" t="s">
        <v>772</v>
      </c>
      <c r="F65" s="411"/>
      <c r="G65" s="402">
        <f>D65*F65</f>
        <v>0</v>
      </c>
    </row>
    <row r="66" spans="1:7" s="160" customFormat="1" x14ac:dyDescent="0.35">
      <c r="A66" s="398"/>
      <c r="B66" s="399"/>
      <c r="C66" s="400"/>
      <c r="D66" s="409"/>
      <c r="E66" s="401"/>
      <c r="F66" s="411"/>
      <c r="G66" s="402">
        <f t="shared" si="0"/>
        <v>0</v>
      </c>
    </row>
    <row r="67" spans="1:7" s="160" customFormat="1" ht="116.25" x14ac:dyDescent="0.35">
      <c r="A67" s="398"/>
      <c r="B67" s="399"/>
      <c r="C67" s="400" t="s">
        <v>781</v>
      </c>
      <c r="D67" s="409">
        <v>252</v>
      </c>
      <c r="E67" s="401" t="s">
        <v>772</v>
      </c>
      <c r="F67" s="411"/>
      <c r="G67" s="402">
        <f>D67*F67</f>
        <v>0</v>
      </c>
    </row>
    <row r="68" spans="1:7" s="160" customFormat="1" x14ac:dyDescent="0.35">
      <c r="A68" s="398"/>
      <c r="B68" s="399"/>
      <c r="C68" s="400"/>
      <c r="D68" s="409"/>
      <c r="E68" s="401"/>
      <c r="F68" s="411"/>
      <c r="G68" s="402">
        <f t="shared" si="0"/>
        <v>0</v>
      </c>
    </row>
    <row r="69" spans="1:7" s="160" customFormat="1" ht="116.25" x14ac:dyDescent="0.35">
      <c r="A69" s="398"/>
      <c r="B69" s="399"/>
      <c r="C69" s="400" t="s">
        <v>782</v>
      </c>
      <c r="D69" s="409">
        <v>144</v>
      </c>
      <c r="E69" s="401" t="s">
        <v>772</v>
      </c>
      <c r="F69" s="411"/>
      <c r="G69" s="402">
        <f>D69*F69</f>
        <v>0</v>
      </c>
    </row>
    <row r="70" spans="1:7" s="160" customFormat="1" x14ac:dyDescent="0.35">
      <c r="A70" s="398"/>
      <c r="B70" s="399"/>
      <c r="C70" s="400"/>
      <c r="D70" s="409"/>
      <c r="E70" s="401"/>
      <c r="F70" s="411"/>
      <c r="G70" s="402">
        <f t="shared" si="0"/>
        <v>0</v>
      </c>
    </row>
    <row r="71" spans="1:7" s="160" customFormat="1" ht="93" x14ac:dyDescent="0.35">
      <c r="A71" s="398"/>
      <c r="B71" s="399"/>
      <c r="C71" s="400" t="s">
        <v>864</v>
      </c>
      <c r="D71" s="409">
        <v>1</v>
      </c>
      <c r="E71" s="401" t="s">
        <v>761</v>
      </c>
      <c r="F71" s="411"/>
      <c r="G71" s="402">
        <f>D71*F71</f>
        <v>0</v>
      </c>
    </row>
    <row r="72" spans="1:7" s="160" customFormat="1" x14ac:dyDescent="0.35">
      <c r="A72" s="398"/>
      <c r="B72" s="399"/>
      <c r="C72" s="400"/>
      <c r="D72" s="409"/>
      <c r="E72" s="401"/>
      <c r="F72" s="411"/>
      <c r="G72" s="402">
        <f t="shared" si="0"/>
        <v>0</v>
      </c>
    </row>
    <row r="73" spans="1:7" s="160" customFormat="1" x14ac:dyDescent="0.35">
      <c r="A73" s="398"/>
      <c r="B73" s="399"/>
      <c r="C73" s="400"/>
      <c r="D73" s="409"/>
      <c r="E73" s="401"/>
      <c r="F73" s="411"/>
      <c r="G73" s="402">
        <f t="shared" si="0"/>
        <v>0</v>
      </c>
    </row>
    <row r="74" spans="1:7" s="160" customFormat="1" ht="24" thickBot="1" x14ac:dyDescent="0.4">
      <c r="A74" s="398"/>
      <c r="B74" s="399"/>
      <c r="C74" s="400"/>
      <c r="D74" s="409"/>
      <c r="E74" s="401"/>
      <c r="F74" s="411"/>
      <c r="G74" s="402">
        <f t="shared" si="0"/>
        <v>0</v>
      </c>
    </row>
    <row r="75" spans="1:7" s="160" customFormat="1" ht="24" thickBot="1" x14ac:dyDescent="0.4">
      <c r="A75" s="398"/>
      <c r="B75" s="399"/>
      <c r="C75" s="404" t="s">
        <v>760</v>
      </c>
      <c r="D75" s="409"/>
      <c r="E75" s="401"/>
      <c r="F75" s="411"/>
      <c r="G75" s="405">
        <f>SUM(G56:G74)</f>
        <v>0</v>
      </c>
    </row>
    <row r="76" spans="1:7" s="160" customFormat="1" ht="24" thickBot="1" x14ac:dyDescent="0.4">
      <c r="A76" s="398"/>
      <c r="B76" s="399"/>
      <c r="C76" s="400"/>
      <c r="D76" s="409"/>
      <c r="E76" s="401"/>
      <c r="F76" s="411"/>
      <c r="G76" s="402">
        <f t="shared" si="0"/>
        <v>0</v>
      </c>
    </row>
    <row r="77" spans="1:7" x14ac:dyDescent="0.35">
      <c r="A77" s="383"/>
      <c r="B77" s="384"/>
      <c r="C77" s="385"/>
      <c r="D77" s="386"/>
      <c r="E77" s="387"/>
      <c r="F77" s="410"/>
      <c r="G77" s="387"/>
    </row>
    <row r="78" spans="1:7" s="160" customFormat="1" x14ac:dyDescent="0.35">
      <c r="A78" s="388"/>
      <c r="B78" s="389"/>
      <c r="C78" s="390"/>
      <c r="D78" s="391"/>
      <c r="E78" s="391"/>
      <c r="F78" s="393" t="s">
        <v>2</v>
      </c>
      <c r="G78" s="393"/>
    </row>
    <row r="79" spans="1:7" s="160" customFormat="1" ht="24" thickBot="1" x14ac:dyDescent="0.4">
      <c r="A79" s="394"/>
      <c r="B79" s="395"/>
      <c r="C79" s="396" t="s">
        <v>753</v>
      </c>
      <c r="D79" s="397" t="s">
        <v>3</v>
      </c>
      <c r="E79" s="397" t="s">
        <v>1</v>
      </c>
      <c r="F79" s="397" t="s">
        <v>4</v>
      </c>
      <c r="G79" s="397" t="s">
        <v>5</v>
      </c>
    </row>
    <row r="80" spans="1:7" s="160" customFormat="1" x14ac:dyDescent="0.35">
      <c r="A80" s="398"/>
      <c r="B80" s="399"/>
      <c r="C80" s="400"/>
      <c r="D80" s="409"/>
      <c r="E80" s="401"/>
      <c r="F80" s="411"/>
      <c r="G80" s="402">
        <f t="shared" ref="G80:G130" si="1">ROUND(D80*F80,2)</f>
        <v>0</v>
      </c>
    </row>
    <row r="81" spans="1:7" s="160" customFormat="1" ht="46.5" x14ac:dyDescent="0.35">
      <c r="A81" s="398"/>
      <c r="B81" s="399"/>
      <c r="C81" s="403" t="s">
        <v>784</v>
      </c>
      <c r="D81" s="409"/>
      <c r="E81" s="401"/>
      <c r="F81" s="411"/>
      <c r="G81" s="402">
        <f t="shared" si="1"/>
        <v>0</v>
      </c>
    </row>
    <row r="82" spans="1:7" s="160" customFormat="1" ht="18.75" customHeight="1" x14ac:dyDescent="0.35">
      <c r="A82" s="398"/>
      <c r="B82" s="399"/>
      <c r="C82" s="400"/>
      <c r="D82" s="409"/>
      <c r="E82" s="401"/>
      <c r="F82" s="411"/>
      <c r="G82" s="402">
        <f t="shared" si="1"/>
        <v>0</v>
      </c>
    </row>
    <row r="83" spans="1:7" s="160" customFormat="1" ht="139.5" x14ac:dyDescent="0.35">
      <c r="A83" s="398"/>
      <c r="B83" s="399"/>
      <c r="C83" s="400" t="s">
        <v>778</v>
      </c>
      <c r="D83" s="409">
        <v>6</v>
      </c>
      <c r="E83" s="401" t="s">
        <v>777</v>
      </c>
      <c r="F83" s="411"/>
      <c r="G83" s="402">
        <f>D83*F83</f>
        <v>0</v>
      </c>
    </row>
    <row r="84" spans="1:7" s="160" customFormat="1" x14ac:dyDescent="0.35">
      <c r="A84" s="398"/>
      <c r="B84" s="399"/>
      <c r="C84" s="400"/>
      <c r="D84" s="409"/>
      <c r="E84" s="401"/>
      <c r="F84" s="411"/>
      <c r="G84" s="402">
        <f t="shared" si="1"/>
        <v>0</v>
      </c>
    </row>
    <row r="85" spans="1:7" s="160" customFormat="1" ht="116.25" x14ac:dyDescent="0.35">
      <c r="A85" s="398"/>
      <c r="B85" s="399"/>
      <c r="C85" s="400" t="s">
        <v>779</v>
      </c>
      <c r="D85" s="409">
        <v>6</v>
      </c>
      <c r="E85" s="401" t="s">
        <v>777</v>
      </c>
      <c r="F85" s="411"/>
      <c r="G85" s="402">
        <f>D85*F85</f>
        <v>0</v>
      </c>
    </row>
    <row r="86" spans="1:7" s="160" customFormat="1" x14ac:dyDescent="0.35">
      <c r="A86" s="398"/>
      <c r="B86" s="399"/>
      <c r="C86" s="400"/>
      <c r="D86" s="409"/>
      <c r="E86" s="401"/>
      <c r="F86" s="411"/>
      <c r="G86" s="402">
        <f t="shared" si="1"/>
        <v>0</v>
      </c>
    </row>
    <row r="87" spans="1:7" s="160" customFormat="1" ht="139.5" x14ac:dyDescent="0.35">
      <c r="A87" s="398"/>
      <c r="B87" s="399"/>
      <c r="C87" s="400" t="s">
        <v>780</v>
      </c>
      <c r="D87" s="409">
        <v>6</v>
      </c>
      <c r="E87" s="401" t="s">
        <v>777</v>
      </c>
      <c r="F87" s="411"/>
      <c r="G87" s="402">
        <f>D87*F87</f>
        <v>0</v>
      </c>
    </row>
    <row r="88" spans="1:7" s="160" customFormat="1" x14ac:dyDescent="0.35">
      <c r="A88" s="398"/>
      <c r="B88" s="399"/>
      <c r="C88" s="400"/>
      <c r="D88" s="409"/>
      <c r="E88" s="401"/>
      <c r="F88" s="411"/>
      <c r="G88" s="402">
        <f t="shared" si="1"/>
        <v>0</v>
      </c>
    </row>
    <row r="89" spans="1:7" s="160" customFormat="1" ht="116.25" x14ac:dyDescent="0.35">
      <c r="A89" s="398"/>
      <c r="B89" s="399"/>
      <c r="C89" s="400" t="s">
        <v>834</v>
      </c>
      <c r="D89" s="409">
        <v>72</v>
      </c>
      <c r="E89" s="401" t="s">
        <v>26</v>
      </c>
      <c r="F89" s="411"/>
      <c r="G89" s="402">
        <f>D89*F89</f>
        <v>0</v>
      </c>
    </row>
    <row r="90" spans="1:7" s="160" customFormat="1" x14ac:dyDescent="0.35">
      <c r="A90" s="398"/>
      <c r="B90" s="399"/>
      <c r="C90" s="400"/>
      <c r="D90" s="409"/>
      <c r="E90" s="401"/>
      <c r="F90" s="411"/>
      <c r="G90" s="402">
        <f t="shared" si="1"/>
        <v>0</v>
      </c>
    </row>
    <row r="91" spans="1:7" s="160" customFormat="1" ht="162.75" x14ac:dyDescent="0.35">
      <c r="A91" s="398"/>
      <c r="B91" s="399"/>
      <c r="C91" s="400" t="s">
        <v>868</v>
      </c>
      <c r="D91" s="409">
        <v>6</v>
      </c>
      <c r="E91" s="401" t="s">
        <v>777</v>
      </c>
      <c r="F91" s="411"/>
      <c r="G91" s="402">
        <f>D91*F91</f>
        <v>0</v>
      </c>
    </row>
    <row r="92" spans="1:7" s="160" customFormat="1" x14ac:dyDescent="0.35">
      <c r="A92" s="398"/>
      <c r="B92" s="399"/>
      <c r="C92" s="400"/>
      <c r="D92" s="409"/>
      <c r="E92" s="401"/>
      <c r="F92" s="411"/>
      <c r="G92" s="402">
        <f t="shared" si="1"/>
        <v>0</v>
      </c>
    </row>
    <row r="93" spans="1:7" s="160" customFormat="1" x14ac:dyDescent="0.35">
      <c r="A93" s="398"/>
      <c r="B93" s="399"/>
      <c r="C93" s="400"/>
      <c r="D93" s="409"/>
      <c r="E93" s="401"/>
      <c r="F93" s="411"/>
      <c r="G93" s="402">
        <f t="shared" si="1"/>
        <v>0</v>
      </c>
    </row>
    <row r="94" spans="1:7" s="160" customFormat="1" x14ac:dyDescent="0.35">
      <c r="A94" s="398"/>
      <c r="B94" s="399"/>
      <c r="C94" s="400"/>
      <c r="D94" s="409"/>
      <c r="E94" s="401"/>
      <c r="F94" s="411"/>
      <c r="G94" s="402">
        <f t="shared" si="1"/>
        <v>0</v>
      </c>
    </row>
    <row r="95" spans="1:7" s="160" customFormat="1" x14ac:dyDescent="0.35">
      <c r="A95" s="398"/>
      <c r="B95" s="399"/>
      <c r="C95" s="400"/>
      <c r="D95" s="409"/>
      <c r="E95" s="401"/>
      <c r="F95" s="411"/>
      <c r="G95" s="402">
        <f t="shared" si="1"/>
        <v>0</v>
      </c>
    </row>
    <row r="96" spans="1:7" s="160" customFormat="1" x14ac:dyDescent="0.35">
      <c r="A96" s="398"/>
      <c r="B96" s="399"/>
      <c r="C96" s="400"/>
      <c r="D96" s="409"/>
      <c r="E96" s="401"/>
      <c r="F96" s="411"/>
      <c r="G96" s="402">
        <f t="shared" si="1"/>
        <v>0</v>
      </c>
    </row>
    <row r="97" spans="1:7" s="160" customFormat="1" x14ac:dyDescent="0.35">
      <c r="A97" s="398"/>
      <c r="B97" s="399"/>
      <c r="C97" s="400"/>
      <c r="D97" s="409"/>
      <c r="E97" s="401"/>
      <c r="F97" s="411"/>
      <c r="G97" s="402">
        <f t="shared" si="1"/>
        <v>0</v>
      </c>
    </row>
    <row r="98" spans="1:7" s="160" customFormat="1" x14ac:dyDescent="0.35">
      <c r="A98" s="398"/>
      <c r="B98" s="399"/>
      <c r="C98" s="400"/>
      <c r="D98" s="409"/>
      <c r="E98" s="401"/>
      <c r="F98" s="411"/>
      <c r="G98" s="402">
        <f t="shared" si="1"/>
        <v>0</v>
      </c>
    </row>
    <row r="99" spans="1:7" s="160" customFormat="1" ht="24" thickBot="1" x14ac:dyDescent="0.4">
      <c r="A99" s="398"/>
      <c r="B99" s="399"/>
      <c r="C99" s="400"/>
      <c r="D99" s="409"/>
      <c r="E99" s="401"/>
      <c r="F99" s="411"/>
      <c r="G99" s="402">
        <f t="shared" si="1"/>
        <v>0</v>
      </c>
    </row>
    <row r="100" spans="1:7" s="160" customFormat="1" ht="24" thickBot="1" x14ac:dyDescent="0.4">
      <c r="A100" s="398"/>
      <c r="B100" s="399"/>
      <c r="C100" s="404" t="s">
        <v>760</v>
      </c>
      <c r="D100" s="409"/>
      <c r="E100" s="401"/>
      <c r="F100" s="411"/>
      <c r="G100" s="405">
        <f>SUM(G81:G99)</f>
        <v>0</v>
      </c>
    </row>
    <row r="101" spans="1:7" s="160" customFormat="1" x14ac:dyDescent="0.35">
      <c r="A101" s="398"/>
      <c r="B101" s="399"/>
      <c r="C101" s="400"/>
      <c r="D101" s="409"/>
      <c r="E101" s="401"/>
      <c r="F101" s="411"/>
      <c r="G101" s="402">
        <f t="shared" si="1"/>
        <v>0</v>
      </c>
    </row>
    <row r="102" spans="1:7" s="160" customFormat="1" ht="24" thickBot="1" x14ac:dyDescent="0.4">
      <c r="A102" s="398"/>
      <c r="B102" s="399"/>
      <c r="C102" s="400"/>
      <c r="D102" s="409"/>
      <c r="E102" s="401"/>
      <c r="F102" s="411"/>
      <c r="G102" s="402">
        <f t="shared" si="1"/>
        <v>0</v>
      </c>
    </row>
    <row r="103" spans="1:7" x14ac:dyDescent="0.35">
      <c r="A103" s="383"/>
      <c r="B103" s="384"/>
      <c r="C103" s="385"/>
      <c r="D103" s="386"/>
      <c r="E103" s="387"/>
      <c r="F103" s="410"/>
      <c r="G103" s="387"/>
    </row>
    <row r="104" spans="1:7" s="160" customFormat="1" x14ac:dyDescent="0.35">
      <c r="A104" s="388"/>
      <c r="B104" s="389"/>
      <c r="C104" s="390"/>
      <c r="D104" s="391"/>
      <c r="E104" s="391"/>
      <c r="F104" s="393" t="s">
        <v>2</v>
      </c>
      <c r="G104" s="393"/>
    </row>
    <row r="105" spans="1:7" s="160" customFormat="1" ht="24" thickBot="1" x14ac:dyDescent="0.4">
      <c r="A105" s="394"/>
      <c r="B105" s="395"/>
      <c r="C105" s="396" t="s">
        <v>753</v>
      </c>
      <c r="D105" s="397" t="s">
        <v>3</v>
      </c>
      <c r="E105" s="397" t="s">
        <v>1</v>
      </c>
      <c r="F105" s="397" t="s">
        <v>4</v>
      </c>
      <c r="G105" s="397" t="s">
        <v>5</v>
      </c>
    </row>
    <row r="106" spans="1:7" s="160" customFormat="1" x14ac:dyDescent="0.35">
      <c r="A106" s="398"/>
      <c r="B106" s="399"/>
      <c r="C106" s="400"/>
      <c r="D106" s="409"/>
      <c r="E106" s="401"/>
      <c r="F106" s="411"/>
      <c r="G106" s="402">
        <f t="shared" si="1"/>
        <v>0</v>
      </c>
    </row>
    <row r="107" spans="1:7" s="160" customFormat="1" ht="46.5" x14ac:dyDescent="0.35">
      <c r="A107" s="398"/>
      <c r="B107" s="399"/>
      <c r="C107" s="403" t="s">
        <v>784</v>
      </c>
      <c r="D107" s="409"/>
      <c r="E107" s="401"/>
      <c r="F107" s="411"/>
      <c r="G107" s="402">
        <f t="shared" si="1"/>
        <v>0</v>
      </c>
    </row>
    <row r="108" spans="1:7" s="160" customFormat="1" x14ac:dyDescent="0.35">
      <c r="A108" s="398"/>
      <c r="B108" s="399"/>
      <c r="C108" s="400"/>
      <c r="D108" s="409"/>
      <c r="E108" s="401"/>
      <c r="F108" s="411"/>
      <c r="G108" s="402">
        <f t="shared" si="1"/>
        <v>0</v>
      </c>
    </row>
    <row r="109" spans="1:7" s="160" customFormat="1" x14ac:dyDescent="0.35">
      <c r="A109" s="398"/>
      <c r="B109" s="399"/>
      <c r="C109" s="412" t="s">
        <v>786</v>
      </c>
      <c r="D109" s="409"/>
      <c r="E109" s="401"/>
      <c r="F109" s="411"/>
      <c r="G109" s="402">
        <f t="shared" si="1"/>
        <v>0</v>
      </c>
    </row>
    <row r="110" spans="1:7" s="160" customFormat="1" x14ac:dyDescent="0.35">
      <c r="A110" s="398"/>
      <c r="B110" s="399"/>
      <c r="C110" s="400"/>
      <c r="D110" s="409"/>
      <c r="E110" s="401"/>
      <c r="F110" s="411"/>
      <c r="G110" s="402">
        <f t="shared" si="1"/>
        <v>0</v>
      </c>
    </row>
    <row r="111" spans="1:7" s="160" customFormat="1" ht="46.5" x14ac:dyDescent="0.35">
      <c r="A111" s="398"/>
      <c r="B111" s="399"/>
      <c r="C111" s="400" t="s">
        <v>789</v>
      </c>
      <c r="D111" s="409">
        <v>1</v>
      </c>
      <c r="E111" s="401" t="s">
        <v>756</v>
      </c>
      <c r="F111" s="411"/>
      <c r="G111" s="402">
        <f>D111*F111</f>
        <v>0</v>
      </c>
    </row>
    <row r="112" spans="1:7" s="160" customFormat="1" x14ac:dyDescent="0.35">
      <c r="A112" s="398"/>
      <c r="B112" s="399"/>
      <c r="C112" s="400"/>
      <c r="D112" s="409"/>
      <c r="E112" s="401"/>
      <c r="F112" s="411"/>
      <c r="G112" s="402">
        <f t="shared" si="1"/>
        <v>0</v>
      </c>
    </row>
    <row r="113" spans="1:7" s="160" customFormat="1" ht="69.75" x14ac:dyDescent="0.35">
      <c r="A113" s="398"/>
      <c r="B113" s="399"/>
      <c r="C113" s="400" t="s">
        <v>787</v>
      </c>
      <c r="D113" s="409">
        <v>31</v>
      </c>
      <c r="E113" s="401" t="s">
        <v>26</v>
      </c>
      <c r="F113" s="411"/>
      <c r="G113" s="402">
        <f>D113*F113</f>
        <v>0</v>
      </c>
    </row>
    <row r="114" spans="1:7" s="160" customFormat="1" x14ac:dyDescent="0.35">
      <c r="A114" s="398"/>
      <c r="B114" s="399"/>
      <c r="C114" s="400"/>
      <c r="D114" s="409"/>
      <c r="E114" s="401"/>
      <c r="F114" s="411"/>
      <c r="G114" s="402">
        <f t="shared" si="1"/>
        <v>0</v>
      </c>
    </row>
    <row r="115" spans="1:7" s="160" customFormat="1" ht="46.5" x14ac:dyDescent="0.35">
      <c r="A115" s="398"/>
      <c r="B115" s="399"/>
      <c r="C115" s="400" t="s">
        <v>788</v>
      </c>
      <c r="D115" s="409">
        <v>412</v>
      </c>
      <c r="E115" s="401" t="s">
        <v>772</v>
      </c>
      <c r="F115" s="411"/>
      <c r="G115" s="402">
        <f>D115*F115</f>
        <v>0</v>
      </c>
    </row>
    <row r="116" spans="1:7" s="160" customFormat="1" x14ac:dyDescent="0.35">
      <c r="A116" s="398"/>
      <c r="B116" s="399"/>
      <c r="C116" s="400"/>
      <c r="D116" s="409"/>
      <c r="E116" s="401"/>
      <c r="F116" s="411"/>
      <c r="G116" s="402">
        <f t="shared" si="1"/>
        <v>0</v>
      </c>
    </row>
    <row r="117" spans="1:7" s="160" customFormat="1" ht="116.25" x14ac:dyDescent="0.35">
      <c r="A117" s="398"/>
      <c r="B117" s="399"/>
      <c r="C117" s="400" t="s">
        <v>791</v>
      </c>
      <c r="D117" s="409"/>
      <c r="E117" s="401"/>
      <c r="F117" s="411"/>
      <c r="G117" s="402">
        <f t="shared" si="1"/>
        <v>0</v>
      </c>
    </row>
    <row r="118" spans="1:7" s="160" customFormat="1" ht="24" thickBot="1" x14ac:dyDescent="0.4">
      <c r="A118" s="398"/>
      <c r="B118" s="399"/>
      <c r="C118" s="400"/>
      <c r="D118" s="409"/>
      <c r="E118" s="401"/>
      <c r="F118" s="411"/>
      <c r="G118" s="402">
        <f t="shared" si="1"/>
        <v>0</v>
      </c>
    </row>
    <row r="119" spans="1:7" s="160" customFormat="1" ht="70.5" thickBot="1" x14ac:dyDescent="0.4">
      <c r="A119" s="398"/>
      <c r="B119" s="399"/>
      <c r="C119" s="400" t="s">
        <v>938</v>
      </c>
      <c r="D119" s="409">
        <v>1</v>
      </c>
      <c r="E119" s="401" t="s">
        <v>756</v>
      </c>
      <c r="F119" s="411"/>
      <c r="G119" s="433">
        <f>D119*F119</f>
        <v>0</v>
      </c>
    </row>
    <row r="120" spans="1:7" s="160" customFormat="1" ht="24" thickBot="1" x14ac:dyDescent="0.4">
      <c r="A120" s="398"/>
      <c r="B120" s="399"/>
      <c r="C120" s="400"/>
      <c r="D120" s="409"/>
      <c r="E120" s="401"/>
      <c r="F120" s="411"/>
      <c r="G120" s="402">
        <f t="shared" si="1"/>
        <v>0</v>
      </c>
    </row>
    <row r="121" spans="1:7" s="160" customFormat="1" ht="24" thickBot="1" x14ac:dyDescent="0.4">
      <c r="A121" s="398"/>
      <c r="B121" s="399"/>
      <c r="C121" s="400"/>
      <c r="D121" s="409"/>
      <c r="E121" s="401"/>
      <c r="F121" s="411"/>
      <c r="G121" s="433"/>
    </row>
    <row r="122" spans="1:7" s="160" customFormat="1" ht="62.25" customHeight="1" thickBot="1" x14ac:dyDescent="0.4">
      <c r="A122" s="398"/>
      <c r="B122" s="399"/>
      <c r="C122" s="400"/>
      <c r="D122" s="409"/>
      <c r="E122" s="401"/>
      <c r="F122" s="411"/>
      <c r="G122" s="402">
        <f t="shared" si="1"/>
        <v>0</v>
      </c>
    </row>
    <row r="123" spans="1:7" s="160" customFormat="1" ht="70.5" thickBot="1" x14ac:dyDescent="0.4">
      <c r="A123" s="398"/>
      <c r="B123" s="399"/>
      <c r="C123" s="400" t="s">
        <v>939</v>
      </c>
      <c r="D123" s="409">
        <v>1</v>
      </c>
      <c r="E123" s="401" t="s">
        <v>756</v>
      </c>
      <c r="F123" s="411"/>
      <c r="G123" s="433">
        <f>D123*F123</f>
        <v>0</v>
      </c>
    </row>
    <row r="124" spans="1:7" s="160" customFormat="1" x14ac:dyDescent="0.35">
      <c r="A124" s="398"/>
      <c r="B124" s="399"/>
      <c r="C124" s="400"/>
      <c r="D124" s="409"/>
      <c r="E124" s="401"/>
      <c r="F124" s="411"/>
      <c r="G124" s="402">
        <f t="shared" si="1"/>
        <v>0</v>
      </c>
    </row>
    <row r="125" spans="1:7" s="160" customFormat="1" x14ac:dyDescent="0.35">
      <c r="A125" s="398"/>
      <c r="B125" s="399"/>
      <c r="C125" s="400"/>
      <c r="D125" s="409"/>
      <c r="E125" s="401"/>
      <c r="F125" s="411"/>
      <c r="G125" s="402">
        <f t="shared" si="1"/>
        <v>0</v>
      </c>
    </row>
    <row r="126" spans="1:7" s="160" customFormat="1" x14ac:dyDescent="0.35">
      <c r="A126" s="398"/>
      <c r="B126" s="399"/>
      <c r="C126" s="400"/>
      <c r="D126" s="409"/>
      <c r="E126" s="401"/>
      <c r="F126" s="411"/>
      <c r="G126" s="402">
        <f t="shared" si="1"/>
        <v>0</v>
      </c>
    </row>
    <row r="127" spans="1:7" s="160" customFormat="1" x14ac:dyDescent="0.35">
      <c r="A127" s="398"/>
      <c r="B127" s="399"/>
      <c r="C127" s="400"/>
      <c r="D127" s="409"/>
      <c r="E127" s="401"/>
      <c r="F127" s="411"/>
      <c r="G127" s="402">
        <f t="shared" si="1"/>
        <v>0</v>
      </c>
    </row>
    <row r="128" spans="1:7" s="160" customFormat="1" ht="24" thickBot="1" x14ac:dyDescent="0.4">
      <c r="A128" s="398"/>
      <c r="B128" s="399"/>
      <c r="C128" s="400"/>
      <c r="D128" s="409"/>
      <c r="E128" s="401"/>
      <c r="F128" s="411"/>
      <c r="G128" s="402">
        <f t="shared" si="1"/>
        <v>0</v>
      </c>
    </row>
    <row r="129" spans="1:7" s="160" customFormat="1" ht="24" thickBot="1" x14ac:dyDescent="0.4">
      <c r="A129" s="398"/>
      <c r="B129" s="399"/>
      <c r="C129" s="404" t="s">
        <v>760</v>
      </c>
      <c r="D129" s="409"/>
      <c r="E129" s="401"/>
      <c r="F129" s="411"/>
      <c r="G129" s="405">
        <f>SUM(G108:G128)</f>
        <v>0</v>
      </c>
    </row>
    <row r="130" spans="1:7" s="160" customFormat="1" ht="24" thickBot="1" x14ac:dyDescent="0.4">
      <c r="A130" s="398"/>
      <c r="B130" s="399"/>
      <c r="C130" s="400"/>
      <c r="D130" s="409"/>
      <c r="E130" s="401"/>
      <c r="F130" s="411"/>
      <c r="G130" s="402">
        <f t="shared" si="1"/>
        <v>0</v>
      </c>
    </row>
    <row r="131" spans="1:7" x14ac:dyDescent="0.35">
      <c r="A131" s="383"/>
      <c r="B131" s="384"/>
      <c r="C131" s="385"/>
      <c r="D131" s="386"/>
      <c r="E131" s="387"/>
      <c r="F131" s="410"/>
      <c r="G131" s="387"/>
    </row>
    <row r="132" spans="1:7" s="160" customFormat="1" x14ac:dyDescent="0.35">
      <c r="A132" s="388"/>
      <c r="B132" s="389"/>
      <c r="C132" s="390"/>
      <c r="D132" s="391"/>
      <c r="E132" s="391"/>
      <c r="F132" s="393" t="s">
        <v>2</v>
      </c>
      <c r="G132" s="393"/>
    </row>
    <row r="133" spans="1:7" s="160" customFormat="1" ht="24" thickBot="1" x14ac:dyDescent="0.4">
      <c r="A133" s="394"/>
      <c r="B133" s="395"/>
      <c r="C133" s="396" t="s">
        <v>753</v>
      </c>
      <c r="D133" s="397" t="s">
        <v>3</v>
      </c>
      <c r="E133" s="397" t="s">
        <v>1</v>
      </c>
      <c r="F133" s="397" t="s">
        <v>4</v>
      </c>
      <c r="G133" s="397" t="s">
        <v>5</v>
      </c>
    </row>
    <row r="134" spans="1:7" s="160" customFormat="1" x14ac:dyDescent="0.35">
      <c r="A134" s="398"/>
      <c r="B134" s="399"/>
      <c r="C134" s="400"/>
      <c r="D134" s="409"/>
      <c r="E134" s="401"/>
      <c r="F134" s="411"/>
      <c r="G134" s="402">
        <f t="shared" ref="G134:G146" si="2">ROUND(D134*F134,2)</f>
        <v>0</v>
      </c>
    </row>
    <row r="135" spans="1:7" s="160" customFormat="1" ht="46.5" x14ac:dyDescent="0.35">
      <c r="A135" s="398"/>
      <c r="B135" s="399"/>
      <c r="C135" s="403" t="s">
        <v>784</v>
      </c>
      <c r="D135" s="409"/>
      <c r="E135" s="401"/>
      <c r="F135" s="411"/>
      <c r="G135" s="402">
        <f t="shared" si="2"/>
        <v>0</v>
      </c>
    </row>
    <row r="136" spans="1:7" s="160" customFormat="1" x14ac:dyDescent="0.35">
      <c r="A136" s="398"/>
      <c r="B136" s="399"/>
      <c r="C136" s="400"/>
      <c r="D136" s="409"/>
      <c r="E136" s="401"/>
      <c r="F136" s="411"/>
      <c r="G136" s="402">
        <f t="shared" si="2"/>
        <v>0</v>
      </c>
    </row>
    <row r="137" spans="1:7" s="160" customFormat="1" x14ac:dyDescent="0.35">
      <c r="A137" s="398"/>
      <c r="B137" s="399"/>
      <c r="C137" s="412" t="s">
        <v>790</v>
      </c>
      <c r="D137" s="409"/>
      <c r="E137" s="401"/>
      <c r="F137" s="411"/>
      <c r="G137" s="402">
        <f t="shared" si="2"/>
        <v>0</v>
      </c>
    </row>
    <row r="138" spans="1:7" s="160" customFormat="1" ht="24" thickBot="1" x14ac:dyDescent="0.4">
      <c r="A138" s="398"/>
      <c r="B138" s="399"/>
      <c r="C138" s="400"/>
      <c r="D138" s="409"/>
      <c r="E138" s="401"/>
      <c r="F138" s="411"/>
      <c r="G138" s="402">
        <f t="shared" si="2"/>
        <v>0</v>
      </c>
    </row>
    <row r="139" spans="1:7" s="160" customFormat="1" ht="117" thickBot="1" x14ac:dyDescent="0.4">
      <c r="A139" s="398"/>
      <c r="B139" s="399"/>
      <c r="C139" s="400" t="s">
        <v>940</v>
      </c>
      <c r="D139" s="446">
        <v>1</v>
      </c>
      <c r="E139" s="401" t="s">
        <v>756</v>
      </c>
      <c r="F139" s="411"/>
      <c r="G139" s="433">
        <f>D139*F139</f>
        <v>0</v>
      </c>
    </row>
    <row r="140" spans="1:7" s="160" customFormat="1" ht="24" thickBot="1" x14ac:dyDescent="0.4">
      <c r="A140" s="398"/>
      <c r="B140" s="399"/>
      <c r="C140" s="400"/>
      <c r="D140" s="409"/>
      <c r="E140" s="401"/>
      <c r="F140" s="411"/>
      <c r="G140" s="402">
        <f t="shared" si="2"/>
        <v>0</v>
      </c>
    </row>
    <row r="141" spans="1:7" s="160" customFormat="1" ht="70.5" thickBot="1" x14ac:dyDescent="0.4">
      <c r="A141" s="398"/>
      <c r="B141" s="399"/>
      <c r="C141" s="400" t="s">
        <v>941</v>
      </c>
      <c r="D141" s="409">
        <v>1</v>
      </c>
      <c r="E141" s="401" t="s">
        <v>756</v>
      </c>
      <c r="F141" s="411"/>
      <c r="G141" s="433">
        <f>D141*F141</f>
        <v>0</v>
      </c>
    </row>
    <row r="142" spans="1:7" s="160" customFormat="1" x14ac:dyDescent="0.35">
      <c r="A142" s="398"/>
      <c r="B142" s="399"/>
      <c r="C142" s="400"/>
      <c r="D142" s="409"/>
      <c r="E142" s="401"/>
      <c r="F142" s="411"/>
      <c r="G142" s="402">
        <f t="shared" si="2"/>
        <v>0</v>
      </c>
    </row>
    <row r="143" spans="1:7" s="160" customFormat="1" ht="116.25" x14ac:dyDescent="0.35">
      <c r="A143" s="398"/>
      <c r="B143" s="399"/>
      <c r="C143" s="400" t="s">
        <v>795</v>
      </c>
      <c r="D143" s="409">
        <v>412</v>
      </c>
      <c r="E143" s="401" t="s">
        <v>772</v>
      </c>
      <c r="F143" s="411"/>
      <c r="G143" s="402">
        <f>D143*F143</f>
        <v>0</v>
      </c>
    </row>
    <row r="144" spans="1:7" s="160" customFormat="1" x14ac:dyDescent="0.35">
      <c r="A144" s="398"/>
      <c r="B144" s="399"/>
      <c r="C144" s="400"/>
      <c r="D144" s="409"/>
      <c r="E144" s="401"/>
      <c r="F144" s="411"/>
      <c r="G144" s="402">
        <f t="shared" si="2"/>
        <v>0</v>
      </c>
    </row>
    <row r="145" spans="1:7" s="160" customFormat="1" ht="69.75" x14ac:dyDescent="0.35">
      <c r="A145" s="398"/>
      <c r="B145" s="399"/>
      <c r="C145" s="400" t="s">
        <v>796</v>
      </c>
      <c r="D145" s="409">
        <v>31</v>
      </c>
      <c r="E145" s="401" t="s">
        <v>26</v>
      </c>
      <c r="F145" s="411"/>
      <c r="G145" s="402">
        <f>D145*F145</f>
        <v>0</v>
      </c>
    </row>
    <row r="146" spans="1:7" s="160" customFormat="1" x14ac:dyDescent="0.35">
      <c r="A146" s="398"/>
      <c r="B146" s="399"/>
      <c r="C146" s="400"/>
      <c r="D146" s="409"/>
      <c r="E146" s="401"/>
      <c r="F146" s="411"/>
      <c r="G146" s="402">
        <f t="shared" si="2"/>
        <v>0</v>
      </c>
    </row>
    <row r="147" spans="1:7" s="160" customFormat="1" ht="116.25" x14ac:dyDescent="0.35">
      <c r="A147" s="398"/>
      <c r="B147" s="399"/>
      <c r="C147" s="400" t="s">
        <v>797</v>
      </c>
      <c r="D147" s="409">
        <v>94</v>
      </c>
      <c r="E147" s="401" t="s">
        <v>26</v>
      </c>
      <c r="F147" s="411"/>
      <c r="G147" s="402">
        <f>D147*F147</f>
        <v>0</v>
      </c>
    </row>
    <row r="148" spans="1:7" s="160" customFormat="1" x14ac:dyDescent="0.35">
      <c r="A148" s="398"/>
      <c r="B148" s="399"/>
      <c r="C148" s="400"/>
      <c r="D148" s="409"/>
      <c r="E148" s="401"/>
      <c r="F148" s="411"/>
      <c r="G148" s="402">
        <f t="shared" ref="G148:G157" si="3">ROUND(D148*F148,2)</f>
        <v>0</v>
      </c>
    </row>
    <row r="149" spans="1:7" s="160" customFormat="1" x14ac:dyDescent="0.35">
      <c r="A149" s="398"/>
      <c r="B149" s="399"/>
      <c r="C149" s="400"/>
      <c r="D149" s="409"/>
      <c r="E149" s="401"/>
      <c r="F149" s="411"/>
      <c r="G149" s="402">
        <f t="shared" si="3"/>
        <v>0</v>
      </c>
    </row>
    <row r="150" spans="1:7" s="160" customFormat="1" x14ac:dyDescent="0.35">
      <c r="A150" s="398"/>
      <c r="B150" s="399"/>
      <c r="C150" s="400"/>
      <c r="D150" s="409"/>
      <c r="E150" s="401"/>
      <c r="F150" s="411"/>
      <c r="G150" s="402">
        <f t="shared" si="3"/>
        <v>0</v>
      </c>
    </row>
    <row r="151" spans="1:7" s="160" customFormat="1" x14ac:dyDescent="0.35">
      <c r="A151" s="398"/>
      <c r="B151" s="399"/>
      <c r="C151" s="400"/>
      <c r="D151" s="409"/>
      <c r="E151" s="401"/>
      <c r="F151" s="411"/>
      <c r="G151" s="402">
        <f t="shared" si="3"/>
        <v>0</v>
      </c>
    </row>
    <row r="152" spans="1:7" s="160" customFormat="1" x14ac:dyDescent="0.35">
      <c r="A152" s="398"/>
      <c r="B152" s="399"/>
      <c r="C152" s="400"/>
      <c r="D152" s="409"/>
      <c r="E152" s="401"/>
      <c r="F152" s="411"/>
      <c r="G152" s="402">
        <f t="shared" si="3"/>
        <v>0</v>
      </c>
    </row>
    <row r="153" spans="1:7" s="160" customFormat="1" x14ac:dyDescent="0.35">
      <c r="A153" s="398"/>
      <c r="B153" s="399"/>
      <c r="C153" s="400"/>
      <c r="D153" s="409"/>
      <c r="E153" s="401"/>
      <c r="F153" s="411"/>
      <c r="G153" s="402">
        <f t="shared" si="3"/>
        <v>0</v>
      </c>
    </row>
    <row r="154" spans="1:7" s="160" customFormat="1" x14ac:dyDescent="0.35">
      <c r="A154" s="398"/>
      <c r="B154" s="399"/>
      <c r="C154" s="400"/>
      <c r="D154" s="409"/>
      <c r="E154" s="401"/>
      <c r="F154" s="411"/>
      <c r="G154" s="402">
        <f t="shared" si="3"/>
        <v>0</v>
      </c>
    </row>
    <row r="155" spans="1:7" s="160" customFormat="1" ht="24" thickBot="1" x14ac:dyDescent="0.4">
      <c r="A155" s="398"/>
      <c r="B155" s="399"/>
      <c r="C155" s="400"/>
      <c r="D155" s="409"/>
      <c r="E155" s="401"/>
      <c r="F155" s="411"/>
      <c r="G155" s="402">
        <f t="shared" si="3"/>
        <v>0</v>
      </c>
    </row>
    <row r="156" spans="1:7" s="160" customFormat="1" ht="24" thickBot="1" x14ac:dyDescent="0.4">
      <c r="A156" s="398"/>
      <c r="B156" s="399"/>
      <c r="C156" s="404" t="s">
        <v>760</v>
      </c>
      <c r="D156" s="409"/>
      <c r="E156" s="401"/>
      <c r="F156" s="411"/>
      <c r="G156" s="405">
        <f>SUM(G136:G155)</f>
        <v>0</v>
      </c>
    </row>
    <row r="157" spans="1:7" s="160" customFormat="1" ht="24" thickBot="1" x14ac:dyDescent="0.4">
      <c r="A157" s="398"/>
      <c r="B157" s="399"/>
      <c r="C157" s="400"/>
      <c r="D157" s="409"/>
      <c r="E157" s="401"/>
      <c r="F157" s="411"/>
      <c r="G157" s="402">
        <f t="shared" si="3"/>
        <v>0</v>
      </c>
    </row>
    <row r="158" spans="1:7" x14ac:dyDescent="0.35">
      <c r="A158" s="383"/>
      <c r="B158" s="384"/>
      <c r="C158" s="385"/>
      <c r="D158" s="386"/>
      <c r="E158" s="387"/>
      <c r="F158" s="410"/>
      <c r="G158" s="387"/>
    </row>
    <row r="159" spans="1:7" s="160" customFormat="1" x14ac:dyDescent="0.35">
      <c r="A159" s="388"/>
      <c r="B159" s="389"/>
      <c r="C159" s="390"/>
      <c r="D159" s="391"/>
      <c r="E159" s="391"/>
      <c r="F159" s="393" t="s">
        <v>2</v>
      </c>
      <c r="G159" s="393"/>
    </row>
    <row r="160" spans="1:7" s="160" customFormat="1" ht="24" thickBot="1" x14ac:dyDescent="0.4">
      <c r="A160" s="394"/>
      <c r="B160" s="395"/>
      <c r="C160" s="396" t="s">
        <v>753</v>
      </c>
      <c r="D160" s="397" t="s">
        <v>3</v>
      </c>
      <c r="E160" s="397" t="s">
        <v>1</v>
      </c>
      <c r="F160" s="397" t="s">
        <v>4</v>
      </c>
      <c r="G160" s="397" t="s">
        <v>5</v>
      </c>
    </row>
    <row r="161" spans="1:7" s="160" customFormat="1" x14ac:dyDescent="0.35">
      <c r="A161" s="398"/>
      <c r="B161" s="399"/>
      <c r="C161" s="400"/>
      <c r="D161" s="409"/>
      <c r="E161" s="401"/>
      <c r="F161" s="411"/>
      <c r="G161" s="402">
        <f t="shared" ref="G161:G163" si="4">ROUND(D161*F161,2)</f>
        <v>0</v>
      </c>
    </row>
    <row r="162" spans="1:7" s="160" customFormat="1" ht="46.5" x14ac:dyDescent="0.35">
      <c r="A162" s="398"/>
      <c r="B162" s="399"/>
      <c r="C162" s="403" t="s">
        <v>792</v>
      </c>
      <c r="D162" s="409"/>
      <c r="E162" s="401"/>
      <c r="F162" s="411"/>
      <c r="G162" s="402">
        <f t="shared" si="4"/>
        <v>0</v>
      </c>
    </row>
    <row r="163" spans="1:7" s="160" customFormat="1" x14ac:dyDescent="0.35">
      <c r="A163" s="398"/>
      <c r="B163" s="399"/>
      <c r="C163" s="400"/>
      <c r="D163" s="409"/>
      <c r="E163" s="401"/>
      <c r="F163" s="411"/>
      <c r="G163" s="402">
        <f t="shared" si="4"/>
        <v>0</v>
      </c>
    </row>
    <row r="164" spans="1:7" s="160" customFormat="1" ht="232.5" x14ac:dyDescent="0.35">
      <c r="A164" s="398"/>
      <c r="B164" s="399"/>
      <c r="C164" s="400" t="s">
        <v>891</v>
      </c>
      <c r="D164" s="409">
        <v>58</v>
      </c>
      <c r="E164" s="401" t="s">
        <v>772</v>
      </c>
      <c r="F164" s="411"/>
      <c r="G164" s="402">
        <f>D164*F164</f>
        <v>0</v>
      </c>
    </row>
    <row r="165" spans="1:7" s="160" customFormat="1" x14ac:dyDescent="0.35">
      <c r="A165" s="398"/>
      <c r="B165" s="399"/>
      <c r="C165" s="400"/>
      <c r="D165" s="409"/>
      <c r="E165" s="401"/>
      <c r="F165" s="411"/>
      <c r="G165" s="402">
        <f t="shared" ref="G165:G214" si="5">ROUND(D165*F165,2)</f>
        <v>0</v>
      </c>
    </row>
    <row r="166" spans="1:7" s="160" customFormat="1" ht="232.5" x14ac:dyDescent="0.35">
      <c r="A166" s="398"/>
      <c r="B166" s="399"/>
      <c r="C166" s="400" t="s">
        <v>793</v>
      </c>
      <c r="D166" s="409">
        <v>65</v>
      </c>
      <c r="E166" s="401" t="s">
        <v>468</v>
      </c>
      <c r="F166" s="411"/>
      <c r="G166" s="402">
        <f>D166*F166</f>
        <v>0</v>
      </c>
    </row>
    <row r="167" spans="1:7" s="160" customFormat="1" ht="63.75" customHeight="1" x14ac:dyDescent="0.35">
      <c r="A167" s="398"/>
      <c r="B167" s="399"/>
      <c r="C167" s="413"/>
      <c r="D167" s="409"/>
      <c r="E167" s="401"/>
      <c r="F167" s="411"/>
      <c r="G167" s="402"/>
    </row>
    <row r="168" spans="1:7" s="160" customFormat="1" ht="87" customHeight="1" x14ac:dyDescent="0.35">
      <c r="A168" s="398"/>
      <c r="B168" s="399"/>
      <c r="C168" s="400"/>
      <c r="D168" s="409"/>
      <c r="E168" s="401"/>
      <c r="F168" s="411"/>
      <c r="G168" s="402"/>
    </row>
    <row r="169" spans="1:7" s="160" customFormat="1" ht="69.75" customHeight="1" x14ac:dyDescent="0.35">
      <c r="A169" s="398"/>
      <c r="B169" s="399"/>
      <c r="C169" s="400"/>
      <c r="D169" s="409"/>
      <c r="E169" s="401"/>
      <c r="F169" s="411"/>
      <c r="G169" s="402"/>
    </row>
    <row r="170" spans="1:7" s="160" customFormat="1" ht="95.25" customHeight="1" x14ac:dyDescent="0.35">
      <c r="A170" s="398"/>
      <c r="B170" s="399"/>
      <c r="C170" s="400"/>
      <c r="D170" s="409"/>
      <c r="E170" s="401"/>
      <c r="F170" s="411"/>
      <c r="G170" s="402"/>
    </row>
    <row r="171" spans="1:7" s="160" customFormat="1" x14ac:dyDescent="0.35">
      <c r="A171" s="398"/>
      <c r="B171" s="399"/>
      <c r="C171" s="400"/>
      <c r="D171" s="409"/>
      <c r="E171" s="401"/>
      <c r="F171" s="411"/>
      <c r="G171" s="402"/>
    </row>
    <row r="172" spans="1:7" s="160" customFormat="1" x14ac:dyDescent="0.35">
      <c r="A172" s="398"/>
      <c r="B172" s="399"/>
      <c r="C172" s="400"/>
      <c r="D172" s="409"/>
      <c r="E172" s="401"/>
      <c r="F172" s="411"/>
      <c r="G172" s="402">
        <f t="shared" ref="G172" si="6">ROUND(D172*F172,2)</f>
        <v>0</v>
      </c>
    </row>
    <row r="173" spans="1:7" s="160" customFormat="1" ht="69.75" x14ac:dyDescent="0.35">
      <c r="A173" s="398"/>
      <c r="B173" s="399"/>
      <c r="C173" s="400" t="s">
        <v>794</v>
      </c>
      <c r="D173" s="409">
        <v>1</v>
      </c>
      <c r="E173" s="401" t="s">
        <v>756</v>
      </c>
      <c r="F173" s="411"/>
      <c r="G173" s="402">
        <f>D173*F173</f>
        <v>0</v>
      </c>
    </row>
    <row r="174" spans="1:7" s="160" customFormat="1" x14ac:dyDescent="0.35">
      <c r="A174" s="398"/>
      <c r="B174" s="399"/>
      <c r="C174" s="400"/>
      <c r="D174" s="409"/>
      <c r="E174" s="401"/>
      <c r="F174" s="411"/>
      <c r="G174" s="402"/>
    </row>
    <row r="175" spans="1:7" s="160" customFormat="1" x14ac:dyDescent="0.35">
      <c r="A175" s="398"/>
      <c r="B175" s="399"/>
      <c r="C175" s="400"/>
      <c r="D175" s="409"/>
      <c r="E175" s="401"/>
      <c r="F175" s="411"/>
      <c r="G175" s="402">
        <f t="shared" si="5"/>
        <v>0</v>
      </c>
    </row>
    <row r="176" spans="1:7" s="160" customFormat="1" ht="24" thickBot="1" x14ac:dyDescent="0.4">
      <c r="A176" s="398"/>
      <c r="B176" s="399"/>
      <c r="C176" s="400"/>
      <c r="D176" s="409"/>
      <c r="E176" s="401"/>
      <c r="F176" s="411"/>
      <c r="G176" s="402">
        <f t="shared" si="5"/>
        <v>0</v>
      </c>
    </row>
    <row r="177" spans="1:7" s="160" customFormat="1" ht="24" thickBot="1" x14ac:dyDescent="0.4">
      <c r="A177" s="398"/>
      <c r="B177" s="399"/>
      <c r="C177" s="404" t="s">
        <v>760</v>
      </c>
      <c r="D177" s="409"/>
      <c r="E177" s="401"/>
      <c r="F177" s="411"/>
      <c r="G177" s="405">
        <f>SUM(G162:G176)</f>
        <v>0</v>
      </c>
    </row>
    <row r="178" spans="1:7" s="160" customFormat="1" ht="24" thickBot="1" x14ac:dyDescent="0.4">
      <c r="A178" s="398"/>
      <c r="B178" s="399"/>
      <c r="C178" s="400"/>
      <c r="D178" s="409"/>
      <c r="E178" s="401"/>
      <c r="F178" s="411"/>
      <c r="G178" s="402">
        <f t="shared" si="5"/>
        <v>0</v>
      </c>
    </row>
    <row r="179" spans="1:7" ht="18" customHeight="1" x14ac:dyDescent="0.35">
      <c r="A179" s="383"/>
      <c r="B179" s="384"/>
      <c r="C179" s="385"/>
      <c r="D179" s="386"/>
      <c r="E179" s="387"/>
      <c r="F179" s="410"/>
      <c r="G179" s="387"/>
    </row>
    <row r="180" spans="1:7" s="160" customFormat="1" x14ac:dyDescent="0.35">
      <c r="A180" s="388"/>
      <c r="B180" s="389"/>
      <c r="C180" s="390"/>
      <c r="D180" s="391"/>
      <c r="E180" s="391"/>
      <c r="F180" s="393" t="s">
        <v>2</v>
      </c>
      <c r="G180" s="393"/>
    </row>
    <row r="181" spans="1:7" s="160" customFormat="1" ht="24" thickBot="1" x14ac:dyDescent="0.4">
      <c r="A181" s="394"/>
      <c r="B181" s="395"/>
      <c r="C181" s="396" t="s">
        <v>753</v>
      </c>
      <c r="D181" s="397" t="s">
        <v>3</v>
      </c>
      <c r="E181" s="397" t="s">
        <v>1</v>
      </c>
      <c r="F181" s="397" t="s">
        <v>4</v>
      </c>
      <c r="G181" s="397" t="s">
        <v>5</v>
      </c>
    </row>
    <row r="182" spans="1:7" s="160" customFormat="1" ht="18" customHeight="1" x14ac:dyDescent="0.35">
      <c r="A182" s="398"/>
      <c r="B182" s="399"/>
      <c r="C182" s="400"/>
      <c r="D182" s="409"/>
      <c r="E182" s="401"/>
      <c r="F182" s="411"/>
      <c r="G182" s="402">
        <f t="shared" si="5"/>
        <v>0</v>
      </c>
    </row>
    <row r="183" spans="1:7" s="160" customFormat="1" x14ac:dyDescent="0.35">
      <c r="A183" s="398"/>
      <c r="B183" s="399"/>
      <c r="C183" s="412" t="s">
        <v>798</v>
      </c>
      <c r="D183" s="409"/>
      <c r="E183" s="401"/>
      <c r="F183" s="411"/>
      <c r="G183" s="402">
        <f t="shared" si="5"/>
        <v>0</v>
      </c>
    </row>
    <row r="184" spans="1:7" s="160" customFormat="1" ht="16.5" customHeight="1" x14ac:dyDescent="0.35">
      <c r="A184" s="398"/>
      <c r="B184" s="399"/>
      <c r="C184" s="400"/>
      <c r="D184" s="409"/>
      <c r="E184" s="401"/>
      <c r="F184" s="411"/>
      <c r="G184" s="402">
        <f t="shared" si="5"/>
        <v>0</v>
      </c>
    </row>
    <row r="185" spans="1:7" s="160" customFormat="1" ht="93" x14ac:dyDescent="0.35">
      <c r="A185" s="398"/>
      <c r="B185" s="399"/>
      <c r="C185" s="400" t="s">
        <v>800</v>
      </c>
      <c r="D185" s="409">
        <v>1</v>
      </c>
      <c r="E185" s="401" t="s">
        <v>756</v>
      </c>
      <c r="F185" s="411"/>
      <c r="G185" s="402">
        <f>D185*F185</f>
        <v>0</v>
      </c>
    </row>
    <row r="186" spans="1:7" s="160" customFormat="1" ht="15.75" customHeight="1" x14ac:dyDescent="0.35">
      <c r="A186" s="398"/>
      <c r="B186" s="399"/>
      <c r="C186" s="400"/>
      <c r="D186" s="409"/>
      <c r="E186" s="401"/>
      <c r="F186" s="411"/>
      <c r="G186" s="402">
        <f t="shared" si="5"/>
        <v>0</v>
      </c>
    </row>
    <row r="187" spans="1:7" s="160" customFormat="1" ht="93" x14ac:dyDescent="0.35">
      <c r="A187" s="398"/>
      <c r="B187" s="399"/>
      <c r="C187" s="435" t="s">
        <v>956</v>
      </c>
      <c r="D187" s="442">
        <v>1</v>
      </c>
      <c r="E187" s="440" t="s">
        <v>756</v>
      </c>
      <c r="F187" s="438"/>
      <c r="G187" s="439">
        <f>D187*F187</f>
        <v>0</v>
      </c>
    </row>
    <row r="188" spans="1:7" s="160" customFormat="1" ht="18.75" customHeight="1" x14ac:dyDescent="0.35">
      <c r="A188" s="398"/>
      <c r="B188" s="399"/>
      <c r="C188" s="400"/>
      <c r="D188" s="409"/>
      <c r="E188" s="401"/>
      <c r="F188" s="411"/>
      <c r="G188" s="402">
        <f t="shared" si="5"/>
        <v>0</v>
      </c>
    </row>
    <row r="189" spans="1:7" s="160" customFormat="1" ht="93" x14ac:dyDescent="0.35">
      <c r="A189" s="398"/>
      <c r="B189" s="399"/>
      <c r="C189" s="400" t="s">
        <v>801</v>
      </c>
      <c r="D189" s="446">
        <v>1</v>
      </c>
      <c r="E189" s="401" t="s">
        <v>756</v>
      </c>
      <c r="F189" s="411"/>
      <c r="G189" s="402">
        <f>D189*F189</f>
        <v>0</v>
      </c>
    </row>
    <row r="190" spans="1:7" s="160" customFormat="1" ht="16.5" customHeight="1" x14ac:dyDescent="0.35">
      <c r="A190" s="398"/>
      <c r="B190" s="399"/>
      <c r="C190" s="400"/>
      <c r="D190" s="409"/>
      <c r="E190" s="401"/>
      <c r="F190" s="411"/>
      <c r="G190" s="402">
        <f t="shared" si="5"/>
        <v>0</v>
      </c>
    </row>
    <row r="191" spans="1:7" s="160" customFormat="1" ht="93" x14ac:dyDescent="0.35">
      <c r="A191" s="398"/>
      <c r="B191" s="399"/>
      <c r="C191" s="400" t="s">
        <v>802</v>
      </c>
      <c r="D191" s="446">
        <v>1</v>
      </c>
      <c r="E191" s="401" t="s">
        <v>756</v>
      </c>
      <c r="F191" s="411"/>
      <c r="G191" s="402">
        <f>D191*F191</f>
        <v>0</v>
      </c>
    </row>
    <row r="192" spans="1:7" s="160" customFormat="1" ht="16.5" customHeight="1" x14ac:dyDescent="0.35">
      <c r="A192" s="398"/>
      <c r="B192" s="399"/>
      <c r="C192" s="400"/>
      <c r="D192" s="409"/>
      <c r="E192" s="401"/>
      <c r="F192" s="411"/>
      <c r="G192" s="402">
        <f t="shared" si="5"/>
        <v>0</v>
      </c>
    </row>
    <row r="193" spans="1:7" s="160" customFormat="1" ht="69.75" x14ac:dyDescent="0.35">
      <c r="A193" s="398"/>
      <c r="B193" s="399"/>
      <c r="C193" s="400" t="s">
        <v>817</v>
      </c>
      <c r="D193" s="409">
        <v>6</v>
      </c>
      <c r="E193" s="401" t="s">
        <v>761</v>
      </c>
      <c r="F193" s="411"/>
      <c r="G193" s="402">
        <f>D193*F193</f>
        <v>0</v>
      </c>
    </row>
    <row r="194" spans="1:7" s="160" customFormat="1" ht="18" customHeight="1" x14ac:dyDescent="0.35">
      <c r="A194" s="398"/>
      <c r="B194" s="399"/>
      <c r="C194" s="400"/>
      <c r="D194" s="409"/>
      <c r="E194" s="401"/>
      <c r="F194" s="411"/>
      <c r="G194" s="402">
        <f t="shared" si="5"/>
        <v>0</v>
      </c>
    </row>
    <row r="195" spans="1:7" s="160" customFormat="1" ht="93" x14ac:dyDescent="0.35">
      <c r="A195" s="398"/>
      <c r="B195" s="399"/>
      <c r="C195" s="400" t="s">
        <v>892</v>
      </c>
      <c r="D195" s="409">
        <v>35</v>
      </c>
      <c r="E195" s="401" t="s">
        <v>468</v>
      </c>
      <c r="F195" s="411"/>
      <c r="G195" s="402">
        <f>D195*F195</f>
        <v>0</v>
      </c>
    </row>
    <row r="196" spans="1:7" s="160" customFormat="1" ht="19.5" customHeight="1" x14ac:dyDescent="0.35">
      <c r="A196" s="398"/>
      <c r="B196" s="399"/>
      <c r="C196" s="400"/>
      <c r="D196" s="409"/>
      <c r="E196" s="401"/>
      <c r="F196" s="411"/>
      <c r="G196" s="402">
        <f t="shared" si="5"/>
        <v>0</v>
      </c>
    </row>
    <row r="197" spans="1:7" s="160" customFormat="1" ht="69.75" x14ac:dyDescent="0.35">
      <c r="A197" s="398"/>
      <c r="B197" s="399"/>
      <c r="C197" s="400" t="s">
        <v>840</v>
      </c>
      <c r="D197" s="409">
        <v>340</v>
      </c>
      <c r="E197" s="401" t="s">
        <v>772</v>
      </c>
      <c r="F197" s="411"/>
      <c r="G197" s="402">
        <f>D197*F197</f>
        <v>0</v>
      </c>
    </row>
    <row r="198" spans="1:7" s="160" customFormat="1" ht="19.5" customHeight="1" x14ac:dyDescent="0.35">
      <c r="A198" s="398"/>
      <c r="B198" s="399"/>
      <c r="C198" s="400"/>
      <c r="D198" s="409"/>
      <c r="E198" s="401"/>
      <c r="F198" s="411"/>
      <c r="G198" s="402">
        <f t="shared" si="5"/>
        <v>0</v>
      </c>
    </row>
    <row r="199" spans="1:7" s="160" customFormat="1" ht="116.25" x14ac:dyDescent="0.35">
      <c r="A199" s="398"/>
      <c r="B199" s="399"/>
      <c r="C199" s="400" t="s">
        <v>839</v>
      </c>
      <c r="D199" s="409">
        <v>92</v>
      </c>
      <c r="E199" s="401" t="s">
        <v>772</v>
      </c>
      <c r="F199" s="411"/>
      <c r="G199" s="402">
        <f>D199*F199</f>
        <v>0</v>
      </c>
    </row>
    <row r="200" spans="1:7" s="160" customFormat="1" ht="18" customHeight="1" x14ac:dyDescent="0.35">
      <c r="A200" s="398"/>
      <c r="B200" s="399"/>
      <c r="C200" s="400"/>
      <c r="D200" s="409"/>
      <c r="E200" s="401"/>
      <c r="F200" s="411"/>
      <c r="G200" s="402">
        <f t="shared" si="5"/>
        <v>0</v>
      </c>
    </row>
    <row r="201" spans="1:7" s="160" customFormat="1" ht="139.5" x14ac:dyDescent="0.35">
      <c r="A201" s="398"/>
      <c r="B201" s="399"/>
      <c r="C201" s="400" t="s">
        <v>842</v>
      </c>
      <c r="D201" s="409">
        <v>6</v>
      </c>
      <c r="E201" s="401" t="s">
        <v>761</v>
      </c>
      <c r="F201" s="411"/>
      <c r="G201" s="402">
        <f>D201*F201</f>
        <v>0</v>
      </c>
    </row>
    <row r="202" spans="1:7" s="160" customFormat="1" ht="24" thickBot="1" x14ac:dyDescent="0.4">
      <c r="A202" s="398"/>
      <c r="B202" s="399"/>
      <c r="C202" s="400"/>
      <c r="D202" s="409"/>
      <c r="E202" s="401"/>
      <c r="F202" s="411"/>
      <c r="G202" s="402">
        <f t="shared" si="5"/>
        <v>0</v>
      </c>
    </row>
    <row r="203" spans="1:7" s="160" customFormat="1" ht="24" thickBot="1" x14ac:dyDescent="0.4">
      <c r="A203" s="398"/>
      <c r="B203" s="399"/>
      <c r="C203" s="404" t="s">
        <v>760</v>
      </c>
      <c r="D203" s="409"/>
      <c r="E203" s="401"/>
      <c r="F203" s="411"/>
      <c r="G203" s="405">
        <f>SUM(G184:G202)</f>
        <v>0</v>
      </c>
    </row>
    <row r="204" spans="1:7" s="160" customFormat="1" ht="24" thickBot="1" x14ac:dyDescent="0.4">
      <c r="A204" s="398"/>
      <c r="B204" s="399"/>
      <c r="C204" s="400"/>
      <c r="D204" s="409"/>
      <c r="E204" s="401"/>
      <c r="F204" s="411"/>
      <c r="G204" s="402">
        <f t="shared" si="5"/>
        <v>0</v>
      </c>
    </row>
    <row r="205" spans="1:7" ht="18.75" customHeight="1" x14ac:dyDescent="0.35">
      <c r="A205" s="383"/>
      <c r="B205" s="384"/>
      <c r="C205" s="385"/>
      <c r="D205" s="386"/>
      <c r="E205" s="387"/>
      <c r="F205" s="410"/>
      <c r="G205" s="387"/>
    </row>
    <row r="206" spans="1:7" s="160" customFormat="1" ht="18" customHeight="1" x14ac:dyDescent="0.35">
      <c r="A206" s="388"/>
      <c r="B206" s="389"/>
      <c r="C206" s="390"/>
      <c r="D206" s="391"/>
      <c r="E206" s="391"/>
      <c r="F206" s="393" t="s">
        <v>2</v>
      </c>
      <c r="G206" s="393"/>
    </row>
    <row r="207" spans="1:7" s="160" customFormat="1" ht="24" thickBot="1" x14ac:dyDescent="0.4">
      <c r="A207" s="394"/>
      <c r="B207" s="395"/>
      <c r="C207" s="396" t="s">
        <v>753</v>
      </c>
      <c r="D207" s="397" t="s">
        <v>3</v>
      </c>
      <c r="E207" s="397" t="s">
        <v>1</v>
      </c>
      <c r="F207" s="397" t="s">
        <v>4</v>
      </c>
      <c r="G207" s="397" t="s">
        <v>5</v>
      </c>
    </row>
    <row r="208" spans="1:7" s="160" customFormat="1" x14ac:dyDescent="0.35">
      <c r="A208" s="398"/>
      <c r="B208" s="399"/>
      <c r="C208" s="400"/>
      <c r="D208" s="409"/>
      <c r="E208" s="401"/>
      <c r="F208" s="411"/>
      <c r="G208" s="402">
        <f t="shared" ref="G208" si="7">ROUND(D208*F208,2)</f>
        <v>0</v>
      </c>
    </row>
    <row r="209" spans="1:7" s="160" customFormat="1" x14ac:dyDescent="0.35">
      <c r="A209" s="398"/>
      <c r="B209" s="399"/>
      <c r="C209" s="412" t="s">
        <v>803</v>
      </c>
      <c r="D209" s="409"/>
      <c r="E209" s="401"/>
      <c r="F209" s="411"/>
      <c r="G209" s="402">
        <f t="shared" si="5"/>
        <v>0</v>
      </c>
    </row>
    <row r="210" spans="1:7" s="160" customFormat="1" x14ac:dyDescent="0.35">
      <c r="A210" s="398"/>
      <c r="B210" s="399"/>
      <c r="C210" s="400"/>
      <c r="D210" s="409"/>
      <c r="E210" s="401"/>
      <c r="F210" s="411"/>
      <c r="G210" s="402">
        <f t="shared" si="5"/>
        <v>0</v>
      </c>
    </row>
    <row r="211" spans="1:7" s="160" customFormat="1" ht="69.75" x14ac:dyDescent="0.35">
      <c r="A211" s="398"/>
      <c r="B211" s="399"/>
      <c r="C211" s="400" t="s">
        <v>893</v>
      </c>
      <c r="D211" s="409">
        <v>54</v>
      </c>
      <c r="E211" s="401" t="s">
        <v>777</v>
      </c>
      <c r="F211" s="411"/>
      <c r="G211" s="402">
        <f>D211*F211</f>
        <v>0</v>
      </c>
    </row>
    <row r="212" spans="1:7" s="160" customFormat="1" ht="15" customHeight="1" x14ac:dyDescent="0.35">
      <c r="A212" s="398"/>
      <c r="B212" s="399"/>
      <c r="C212" s="400"/>
      <c r="D212" s="409"/>
      <c r="E212" s="401"/>
      <c r="F212" s="411"/>
      <c r="G212" s="402">
        <f t="shared" si="5"/>
        <v>0</v>
      </c>
    </row>
    <row r="213" spans="1:7" s="160" customFormat="1" ht="46.5" x14ac:dyDescent="0.35">
      <c r="A213" s="398"/>
      <c r="B213" s="399"/>
      <c r="C213" s="400" t="s">
        <v>804</v>
      </c>
      <c r="D213" s="409">
        <v>12</v>
      </c>
      <c r="E213" s="401" t="s">
        <v>777</v>
      </c>
      <c r="F213" s="411"/>
      <c r="G213" s="402">
        <f>D213*F213</f>
        <v>0</v>
      </c>
    </row>
    <row r="214" spans="1:7" s="160" customFormat="1" ht="15.75" customHeight="1" x14ac:dyDescent="0.35">
      <c r="A214" s="398"/>
      <c r="B214" s="399"/>
      <c r="C214" s="400"/>
      <c r="D214" s="409"/>
      <c r="E214" s="401"/>
      <c r="F214" s="411"/>
      <c r="G214" s="402">
        <f t="shared" si="5"/>
        <v>0</v>
      </c>
    </row>
    <row r="215" spans="1:7" s="160" customFormat="1" x14ac:dyDescent="0.35">
      <c r="A215" s="398"/>
      <c r="B215" s="399"/>
      <c r="C215" s="400" t="s">
        <v>805</v>
      </c>
      <c r="D215" s="409">
        <v>12</v>
      </c>
      <c r="E215" s="401" t="s">
        <v>777</v>
      </c>
      <c r="F215" s="411"/>
      <c r="G215" s="402">
        <f>D215*F215</f>
        <v>0</v>
      </c>
    </row>
    <row r="216" spans="1:7" s="160" customFormat="1" ht="15.75" customHeight="1" x14ac:dyDescent="0.35">
      <c r="A216" s="398"/>
      <c r="B216" s="399"/>
      <c r="C216" s="400"/>
      <c r="D216" s="409"/>
      <c r="E216" s="401"/>
      <c r="F216" s="411"/>
      <c r="G216" s="402">
        <f t="shared" ref="G216" si="8">ROUND(D216*F216,2)</f>
        <v>0</v>
      </c>
    </row>
    <row r="217" spans="1:7" s="160" customFormat="1" x14ac:dyDescent="0.35">
      <c r="A217" s="398"/>
      <c r="B217" s="399"/>
      <c r="C217" s="400" t="s">
        <v>806</v>
      </c>
      <c r="D217" s="409">
        <v>6</v>
      </c>
      <c r="E217" s="401" t="s">
        <v>777</v>
      </c>
      <c r="F217" s="411"/>
      <c r="G217" s="402">
        <f>D217*F217</f>
        <v>0</v>
      </c>
    </row>
    <row r="218" spans="1:7" s="160" customFormat="1" ht="16.5" customHeight="1" x14ac:dyDescent="0.35">
      <c r="A218" s="398"/>
      <c r="B218" s="399"/>
      <c r="C218" s="400"/>
      <c r="D218" s="409"/>
      <c r="E218" s="401"/>
      <c r="F218" s="411"/>
      <c r="G218" s="402">
        <f t="shared" ref="G218:G226" si="9">ROUND(D218*F218,2)</f>
        <v>0</v>
      </c>
    </row>
    <row r="219" spans="1:7" s="160" customFormat="1" x14ac:dyDescent="0.35">
      <c r="A219" s="398"/>
      <c r="B219" s="399"/>
      <c r="C219" s="400" t="s">
        <v>807</v>
      </c>
      <c r="D219" s="409">
        <v>12</v>
      </c>
      <c r="E219" s="401" t="s">
        <v>777</v>
      </c>
      <c r="F219" s="411"/>
      <c r="G219" s="402">
        <f>D219*F219</f>
        <v>0</v>
      </c>
    </row>
    <row r="220" spans="1:7" s="160" customFormat="1" ht="13.5" customHeight="1" x14ac:dyDescent="0.35">
      <c r="A220" s="398"/>
      <c r="B220" s="399"/>
      <c r="C220" s="400"/>
      <c r="D220" s="409"/>
      <c r="E220" s="401"/>
      <c r="F220" s="411"/>
      <c r="G220" s="402">
        <f t="shared" si="9"/>
        <v>0</v>
      </c>
    </row>
    <row r="221" spans="1:7" s="160" customFormat="1" ht="69.75" x14ac:dyDescent="0.35">
      <c r="A221" s="398"/>
      <c r="B221" s="399"/>
      <c r="C221" s="400" t="s">
        <v>816</v>
      </c>
      <c r="D221" s="409">
        <v>6</v>
      </c>
      <c r="E221" s="401" t="s">
        <v>777</v>
      </c>
      <c r="F221" s="411"/>
      <c r="G221" s="402">
        <f>D221*F221</f>
        <v>0</v>
      </c>
    </row>
    <row r="222" spans="1:7" s="160" customFormat="1" ht="17.25" customHeight="1" x14ac:dyDescent="0.35">
      <c r="A222" s="398"/>
      <c r="B222" s="399"/>
      <c r="C222" s="400"/>
      <c r="D222" s="409"/>
      <c r="E222" s="401"/>
      <c r="F222" s="411"/>
      <c r="G222" s="402">
        <f t="shared" si="9"/>
        <v>0</v>
      </c>
    </row>
    <row r="223" spans="1:7" s="160" customFormat="1" ht="69.75" x14ac:dyDescent="0.35">
      <c r="A223" s="398"/>
      <c r="B223" s="399"/>
      <c r="C223" s="400" t="s">
        <v>808</v>
      </c>
      <c r="D223" s="409">
        <v>6</v>
      </c>
      <c r="E223" s="401" t="s">
        <v>777</v>
      </c>
      <c r="F223" s="411"/>
      <c r="G223" s="402">
        <f>D223*F223</f>
        <v>0</v>
      </c>
    </row>
    <row r="224" spans="1:7" s="160" customFormat="1" ht="17.25" customHeight="1" x14ac:dyDescent="0.35">
      <c r="A224" s="398"/>
      <c r="B224" s="399"/>
      <c r="C224" s="400"/>
      <c r="D224" s="409"/>
      <c r="E224" s="401"/>
      <c r="F224" s="411"/>
      <c r="G224" s="402">
        <f t="shared" si="9"/>
        <v>0</v>
      </c>
    </row>
    <row r="225" spans="1:7" s="160" customFormat="1" ht="46.5" x14ac:dyDescent="0.35">
      <c r="A225" s="398"/>
      <c r="B225" s="399"/>
      <c r="C225" s="400" t="s">
        <v>809</v>
      </c>
      <c r="D225" s="409">
        <v>6</v>
      </c>
      <c r="E225" s="401" t="s">
        <v>810</v>
      </c>
      <c r="F225" s="411"/>
      <c r="G225" s="402">
        <f>D225*F225</f>
        <v>0</v>
      </c>
    </row>
    <row r="226" spans="1:7" s="160" customFormat="1" ht="16.5" customHeight="1" x14ac:dyDescent="0.35">
      <c r="A226" s="398"/>
      <c r="B226" s="399"/>
      <c r="C226" s="400"/>
      <c r="D226" s="409"/>
      <c r="E226" s="401"/>
      <c r="F226" s="411"/>
      <c r="G226" s="402">
        <f t="shared" si="9"/>
        <v>0</v>
      </c>
    </row>
    <row r="227" spans="1:7" ht="46.5" x14ac:dyDescent="0.35">
      <c r="C227" s="400" t="s">
        <v>812</v>
      </c>
      <c r="D227" s="409">
        <v>6</v>
      </c>
      <c r="E227" s="401" t="s">
        <v>777</v>
      </c>
      <c r="G227" s="402">
        <f>D227*F227</f>
        <v>0</v>
      </c>
    </row>
    <row r="228" spans="1:7" s="160" customFormat="1" ht="16.5" customHeight="1" x14ac:dyDescent="0.35">
      <c r="A228" s="398"/>
      <c r="B228" s="399"/>
      <c r="C228" s="400"/>
      <c r="D228" s="409"/>
      <c r="E228" s="401"/>
      <c r="F228" s="411"/>
      <c r="G228" s="402">
        <f t="shared" ref="G228" si="10">ROUND(D228*F228,2)</f>
        <v>0</v>
      </c>
    </row>
    <row r="229" spans="1:7" ht="46.5" x14ac:dyDescent="0.35">
      <c r="C229" s="400" t="s">
        <v>813</v>
      </c>
      <c r="D229" s="393">
        <v>12</v>
      </c>
      <c r="E229" s="401" t="s">
        <v>777</v>
      </c>
      <c r="G229" s="402">
        <f>D229*F229</f>
        <v>0</v>
      </c>
    </row>
    <row r="230" spans="1:7" s="160" customFormat="1" ht="17.25" customHeight="1" x14ac:dyDescent="0.35">
      <c r="A230" s="398"/>
      <c r="B230" s="399"/>
      <c r="C230" s="400"/>
      <c r="D230" s="409"/>
      <c r="E230" s="401"/>
      <c r="F230" s="411"/>
      <c r="G230" s="402">
        <f t="shared" ref="G230" si="11">ROUND(D230*F230,2)</f>
        <v>0</v>
      </c>
    </row>
    <row r="231" spans="1:7" ht="46.5" x14ac:dyDescent="0.35">
      <c r="C231" s="400" t="s">
        <v>811</v>
      </c>
      <c r="D231" s="393">
        <v>12</v>
      </c>
      <c r="E231" s="401" t="s">
        <v>777</v>
      </c>
      <c r="G231" s="402">
        <f>D231*F231</f>
        <v>0</v>
      </c>
    </row>
    <row r="232" spans="1:7" s="160" customFormat="1" x14ac:dyDescent="0.35">
      <c r="A232" s="398"/>
      <c r="B232" s="399"/>
      <c r="C232" s="400"/>
      <c r="D232" s="409"/>
      <c r="E232" s="401"/>
      <c r="F232" s="411"/>
      <c r="G232" s="402">
        <f t="shared" ref="G232" si="12">ROUND(D232*F232,2)</f>
        <v>0</v>
      </c>
    </row>
    <row r="233" spans="1:7" ht="46.5" x14ac:dyDescent="0.35">
      <c r="C233" s="400" t="s">
        <v>814</v>
      </c>
      <c r="D233" s="393">
        <v>6</v>
      </c>
      <c r="E233" s="401" t="s">
        <v>777</v>
      </c>
      <c r="G233" s="402">
        <f>D233*F233</f>
        <v>0</v>
      </c>
    </row>
    <row r="234" spans="1:7" s="160" customFormat="1" x14ac:dyDescent="0.35">
      <c r="A234" s="398"/>
      <c r="B234" s="399"/>
      <c r="C234" s="400"/>
      <c r="D234" s="409"/>
      <c r="E234" s="401"/>
      <c r="F234" s="411"/>
      <c r="G234" s="402">
        <f t="shared" ref="G234" si="13">ROUND(D234*F234,2)</f>
        <v>0</v>
      </c>
    </row>
    <row r="235" spans="1:7" ht="46.5" x14ac:dyDescent="0.35">
      <c r="C235" s="400" t="s">
        <v>815</v>
      </c>
      <c r="D235" s="393">
        <v>6</v>
      </c>
      <c r="E235" s="401" t="s">
        <v>777</v>
      </c>
      <c r="G235" s="402">
        <f>D235*F235</f>
        <v>0</v>
      </c>
    </row>
    <row r="236" spans="1:7" s="160" customFormat="1" x14ac:dyDescent="0.35">
      <c r="A236" s="398"/>
      <c r="B236" s="399"/>
      <c r="C236" s="400"/>
      <c r="D236" s="409"/>
      <c r="E236" s="401"/>
      <c r="F236" s="411"/>
      <c r="G236" s="402">
        <f t="shared" ref="G236" si="14">ROUND(D236*F236,2)</f>
        <v>0</v>
      </c>
    </row>
    <row r="237" spans="1:7" s="160" customFormat="1" ht="116.25" x14ac:dyDescent="0.35">
      <c r="A237" s="398"/>
      <c r="B237" s="399"/>
      <c r="C237" s="435" t="s">
        <v>957</v>
      </c>
      <c r="D237" s="442">
        <v>6</v>
      </c>
      <c r="E237" s="440" t="s">
        <v>761</v>
      </c>
      <c r="F237" s="438">
        <v>0</v>
      </c>
      <c r="G237" s="439">
        <f>D237*F237</f>
        <v>0</v>
      </c>
    </row>
    <row r="238" spans="1:7" s="160" customFormat="1" x14ac:dyDescent="0.35">
      <c r="A238" s="398"/>
      <c r="B238" s="399"/>
      <c r="C238" s="400"/>
      <c r="D238" s="409"/>
      <c r="E238" s="401"/>
      <c r="F238" s="411"/>
      <c r="G238" s="402">
        <f t="shared" ref="G238:G247" si="15">ROUND(D238*F238,2)</f>
        <v>0</v>
      </c>
    </row>
    <row r="239" spans="1:7" s="160" customFormat="1" ht="46.5" x14ac:dyDescent="0.35">
      <c r="A239" s="398"/>
      <c r="B239" s="399"/>
      <c r="C239" s="400" t="s">
        <v>822</v>
      </c>
      <c r="D239" s="446">
        <v>42</v>
      </c>
      <c r="E239" s="401" t="s">
        <v>761</v>
      </c>
      <c r="F239" s="411"/>
      <c r="G239" s="402">
        <f>D239*F239</f>
        <v>0</v>
      </c>
    </row>
    <row r="240" spans="1:7" s="160" customFormat="1" ht="24" thickBot="1" x14ac:dyDescent="0.4">
      <c r="A240" s="398"/>
      <c r="B240" s="399"/>
      <c r="C240" s="400"/>
      <c r="D240" s="409"/>
      <c r="E240" s="401"/>
      <c r="F240" s="411"/>
      <c r="G240" s="402">
        <f t="shared" si="15"/>
        <v>0</v>
      </c>
    </row>
    <row r="241" spans="1:7" s="160" customFormat="1" ht="24" thickBot="1" x14ac:dyDescent="0.4">
      <c r="A241" s="398"/>
      <c r="B241" s="399"/>
      <c r="C241" s="404" t="s">
        <v>760</v>
      </c>
      <c r="D241" s="409"/>
      <c r="E241" s="401"/>
      <c r="F241" s="411"/>
      <c r="G241" s="405">
        <f>SUM(G210:G240)</f>
        <v>0</v>
      </c>
    </row>
    <row r="242" spans="1:7" ht="18.75" customHeight="1" x14ac:dyDescent="0.35">
      <c r="A242" s="383"/>
      <c r="B242" s="384"/>
      <c r="C242" s="385"/>
      <c r="D242" s="386"/>
      <c r="E242" s="387"/>
      <c r="F242" s="410"/>
      <c r="G242" s="387"/>
    </row>
    <row r="243" spans="1:7" s="160" customFormat="1" x14ac:dyDescent="0.35">
      <c r="A243" s="388"/>
      <c r="B243" s="389"/>
      <c r="C243" s="390"/>
      <c r="D243" s="391"/>
      <c r="E243" s="391"/>
      <c r="F243" s="393" t="s">
        <v>2</v>
      </c>
      <c r="G243" s="393"/>
    </row>
    <row r="244" spans="1:7" s="160" customFormat="1" ht="24" thickBot="1" x14ac:dyDescent="0.4">
      <c r="A244" s="394"/>
      <c r="B244" s="395"/>
      <c r="C244" s="396" t="s">
        <v>753</v>
      </c>
      <c r="D244" s="397" t="s">
        <v>3</v>
      </c>
      <c r="E244" s="397" t="s">
        <v>1</v>
      </c>
      <c r="F244" s="397" t="s">
        <v>4</v>
      </c>
      <c r="G244" s="397" t="s">
        <v>5</v>
      </c>
    </row>
    <row r="245" spans="1:7" s="160" customFormat="1" ht="18" customHeight="1" x14ac:dyDescent="0.35">
      <c r="A245" s="398"/>
      <c r="B245" s="399"/>
      <c r="C245" s="400"/>
      <c r="D245" s="409"/>
      <c r="E245" s="401"/>
      <c r="F245" s="411"/>
      <c r="G245" s="402">
        <f t="shared" si="15"/>
        <v>0</v>
      </c>
    </row>
    <row r="246" spans="1:7" s="160" customFormat="1" x14ac:dyDescent="0.35">
      <c r="A246" s="398"/>
      <c r="B246" s="399"/>
      <c r="C246" s="412" t="s">
        <v>821</v>
      </c>
      <c r="D246" s="409"/>
      <c r="E246" s="401"/>
      <c r="F246" s="411"/>
      <c r="G246" s="402">
        <f t="shared" si="15"/>
        <v>0</v>
      </c>
    </row>
    <row r="247" spans="1:7" s="160" customFormat="1" x14ac:dyDescent="0.35">
      <c r="A247" s="398"/>
      <c r="B247" s="399"/>
      <c r="C247" s="400"/>
      <c r="D247" s="409"/>
      <c r="E247" s="401"/>
      <c r="F247" s="411"/>
      <c r="G247" s="402">
        <f t="shared" si="15"/>
        <v>0</v>
      </c>
    </row>
    <row r="248" spans="1:7" s="160" customFormat="1" ht="46.5" x14ac:dyDescent="0.35">
      <c r="A248" s="398"/>
      <c r="B248" s="399"/>
      <c r="C248" s="435" t="s">
        <v>848</v>
      </c>
      <c r="D248" s="442">
        <v>30</v>
      </c>
      <c r="E248" s="440" t="s">
        <v>777</v>
      </c>
      <c r="F248" s="438"/>
      <c r="G248" s="439">
        <f>D248*F248</f>
        <v>0</v>
      </c>
    </row>
    <row r="249" spans="1:7" s="160" customFormat="1" x14ac:dyDescent="0.35">
      <c r="A249" s="398"/>
      <c r="B249" s="399"/>
      <c r="C249" s="400"/>
      <c r="D249" s="409"/>
      <c r="E249" s="401"/>
      <c r="F249" s="411"/>
      <c r="G249" s="402">
        <f t="shared" ref="G249" si="16">ROUND(D249*F249,2)</f>
        <v>0</v>
      </c>
    </row>
    <row r="250" spans="1:7" s="160" customFormat="1" ht="69.75" x14ac:dyDescent="0.35">
      <c r="A250" s="398"/>
      <c r="B250" s="399"/>
      <c r="C250" s="435" t="s">
        <v>823</v>
      </c>
      <c r="D250" s="442">
        <v>6</v>
      </c>
      <c r="E250" s="440" t="s">
        <v>824</v>
      </c>
      <c r="F250" s="438"/>
      <c r="G250" s="439">
        <f>D250*F250</f>
        <v>0</v>
      </c>
    </row>
    <row r="251" spans="1:7" s="160" customFormat="1" x14ac:dyDescent="0.35">
      <c r="A251" s="398"/>
      <c r="B251" s="399"/>
      <c r="C251" s="400"/>
      <c r="D251" s="409"/>
      <c r="E251" s="401"/>
      <c r="F251" s="411"/>
      <c r="G251" s="402">
        <f t="shared" ref="G251:G258" si="17">ROUND(D251*F251,2)</f>
        <v>0</v>
      </c>
    </row>
    <row r="252" spans="1:7" s="160" customFormat="1" x14ac:dyDescent="0.35">
      <c r="A252" s="398"/>
      <c r="B252" s="399"/>
      <c r="C252" s="400"/>
      <c r="D252" s="409"/>
      <c r="E252" s="401"/>
      <c r="F252" s="411"/>
      <c r="G252" s="402">
        <f t="shared" si="17"/>
        <v>0</v>
      </c>
    </row>
    <row r="253" spans="1:7" s="160" customFormat="1" ht="162.75" x14ac:dyDescent="0.35">
      <c r="A253" s="398"/>
      <c r="B253" s="399"/>
      <c r="C253" s="435" t="s">
        <v>958</v>
      </c>
      <c r="D253" s="442">
        <v>24</v>
      </c>
      <c r="E253" s="440" t="s">
        <v>761</v>
      </c>
      <c r="F253" s="438"/>
      <c r="G253" s="439">
        <f>D253*F253</f>
        <v>0</v>
      </c>
    </row>
    <row r="254" spans="1:7" s="160" customFormat="1" ht="24" thickBot="1" x14ac:dyDescent="0.4">
      <c r="A254" s="398"/>
      <c r="B254" s="399"/>
      <c r="C254" s="400"/>
      <c r="D254" s="409"/>
      <c r="E254" s="401"/>
      <c r="F254" s="411"/>
      <c r="G254" s="402">
        <f t="shared" si="17"/>
        <v>0</v>
      </c>
    </row>
    <row r="255" spans="1:7" s="160" customFormat="1" ht="93.75" thickBot="1" x14ac:dyDescent="0.4">
      <c r="A255" s="398"/>
      <c r="B255" s="399"/>
      <c r="C255" s="435" t="s">
        <v>959</v>
      </c>
      <c r="D255" s="442">
        <v>1</v>
      </c>
      <c r="E255" s="440" t="s">
        <v>819</v>
      </c>
      <c r="F255" s="438"/>
      <c r="G255" s="441">
        <f>D255*F255</f>
        <v>0</v>
      </c>
    </row>
    <row r="256" spans="1:7" s="160" customFormat="1" ht="24" thickBot="1" x14ac:dyDescent="0.4">
      <c r="A256" s="398"/>
      <c r="B256" s="399"/>
      <c r="C256" s="400"/>
      <c r="D256" s="409"/>
      <c r="E256" s="401"/>
      <c r="F256" s="411"/>
      <c r="G256" s="402">
        <f t="shared" si="17"/>
        <v>0</v>
      </c>
    </row>
    <row r="257" spans="1:7" s="160" customFormat="1" ht="47.25" thickBot="1" x14ac:dyDescent="0.4">
      <c r="A257" s="398"/>
      <c r="B257" s="399"/>
      <c r="C257" s="400" t="s">
        <v>951</v>
      </c>
      <c r="D257" s="409">
        <v>1</v>
      </c>
      <c r="E257" s="401" t="s">
        <v>819</v>
      </c>
      <c r="F257" s="411"/>
      <c r="G257" s="433">
        <f>D257*F257</f>
        <v>0</v>
      </c>
    </row>
    <row r="258" spans="1:7" s="160" customFormat="1" x14ac:dyDescent="0.35">
      <c r="A258" s="398"/>
      <c r="B258" s="399"/>
      <c r="C258" s="400"/>
      <c r="D258" s="409"/>
      <c r="E258" s="401"/>
      <c r="F258" s="411"/>
      <c r="G258" s="402">
        <f t="shared" si="17"/>
        <v>0</v>
      </c>
    </row>
    <row r="259" spans="1:7" s="160" customFormat="1" ht="69.75" x14ac:dyDescent="0.35">
      <c r="A259" s="398"/>
      <c r="B259" s="399"/>
      <c r="C259" s="400" t="s">
        <v>818</v>
      </c>
      <c r="D259" s="409">
        <v>1</v>
      </c>
      <c r="E259" s="401" t="s">
        <v>756</v>
      </c>
      <c r="F259" s="411"/>
      <c r="G259" s="402">
        <f>D259*F259</f>
        <v>0</v>
      </c>
    </row>
    <row r="260" spans="1:7" s="160" customFormat="1" x14ac:dyDescent="0.35">
      <c r="A260" s="398"/>
      <c r="B260" s="399"/>
      <c r="C260" s="400"/>
      <c r="D260" s="409"/>
      <c r="E260" s="401"/>
      <c r="F260" s="411"/>
      <c r="G260" s="402">
        <f t="shared" ref="G260:G322" si="18">ROUND(D260*F260,2)</f>
        <v>0</v>
      </c>
    </row>
    <row r="261" spans="1:7" s="160" customFormat="1" x14ac:dyDescent="0.35">
      <c r="A261" s="398"/>
      <c r="B261" s="399"/>
      <c r="C261" s="400"/>
      <c r="D261" s="409"/>
      <c r="E261" s="401"/>
      <c r="F261" s="411"/>
      <c r="G261" s="402">
        <f t="shared" si="18"/>
        <v>0</v>
      </c>
    </row>
    <row r="262" spans="1:7" s="160" customFormat="1" x14ac:dyDescent="0.35">
      <c r="A262" s="398"/>
      <c r="B262" s="399"/>
      <c r="C262" s="400"/>
      <c r="D262" s="409"/>
      <c r="E262" s="401"/>
      <c r="F262" s="411"/>
      <c r="G262" s="402">
        <f t="shared" si="18"/>
        <v>0</v>
      </c>
    </row>
    <row r="263" spans="1:7" s="160" customFormat="1" x14ac:dyDescent="0.35">
      <c r="A263" s="398"/>
      <c r="B263" s="399"/>
      <c r="C263" s="400"/>
      <c r="D263" s="409"/>
      <c r="E263" s="401"/>
      <c r="F263" s="411"/>
      <c r="G263" s="402">
        <f t="shared" si="18"/>
        <v>0</v>
      </c>
    </row>
    <row r="264" spans="1:7" s="160" customFormat="1" x14ac:dyDescent="0.35">
      <c r="A264" s="398"/>
      <c r="B264" s="399"/>
      <c r="C264" s="400"/>
      <c r="D264" s="409"/>
      <c r="E264" s="401"/>
      <c r="F264" s="411"/>
      <c r="G264" s="402">
        <f t="shared" si="18"/>
        <v>0</v>
      </c>
    </row>
    <row r="265" spans="1:7" s="160" customFormat="1" x14ac:dyDescent="0.35">
      <c r="A265" s="398"/>
      <c r="B265" s="399"/>
      <c r="C265" s="400"/>
      <c r="D265" s="409"/>
      <c r="E265" s="401"/>
      <c r="F265" s="411"/>
      <c r="G265" s="402">
        <f t="shared" si="18"/>
        <v>0</v>
      </c>
    </row>
    <row r="266" spans="1:7" s="160" customFormat="1" x14ac:dyDescent="0.35">
      <c r="A266" s="398"/>
      <c r="B266" s="399"/>
      <c r="C266" s="400"/>
      <c r="D266" s="409"/>
      <c r="E266" s="401"/>
      <c r="F266" s="411"/>
      <c r="G266" s="402">
        <f t="shared" si="18"/>
        <v>0</v>
      </c>
    </row>
    <row r="267" spans="1:7" s="160" customFormat="1" x14ac:dyDescent="0.35">
      <c r="A267" s="398"/>
      <c r="B267" s="399"/>
      <c r="C267" s="400"/>
      <c r="D267" s="409"/>
      <c r="E267" s="401"/>
      <c r="F267" s="411"/>
      <c r="G267" s="402">
        <f t="shared" si="18"/>
        <v>0</v>
      </c>
    </row>
    <row r="268" spans="1:7" s="160" customFormat="1" x14ac:dyDescent="0.35">
      <c r="A268" s="398"/>
      <c r="B268" s="399"/>
      <c r="C268" s="400"/>
      <c r="D268" s="409"/>
      <c r="E268" s="401"/>
      <c r="F268" s="411"/>
      <c r="G268" s="402">
        <f t="shared" si="18"/>
        <v>0</v>
      </c>
    </row>
    <row r="269" spans="1:7" s="160" customFormat="1" x14ac:dyDescent="0.35">
      <c r="A269" s="398"/>
      <c r="B269" s="399"/>
      <c r="C269" s="400"/>
      <c r="D269" s="409"/>
      <c r="E269" s="401"/>
      <c r="F269" s="411"/>
      <c r="G269" s="402">
        <f t="shared" si="18"/>
        <v>0</v>
      </c>
    </row>
    <row r="270" spans="1:7" s="160" customFormat="1" x14ac:dyDescent="0.35">
      <c r="A270" s="398"/>
      <c r="B270" s="399"/>
      <c r="C270" s="400"/>
      <c r="D270" s="409"/>
      <c r="E270" s="401"/>
      <c r="F270" s="411"/>
      <c r="G270" s="402">
        <f t="shared" si="18"/>
        <v>0</v>
      </c>
    </row>
    <row r="271" spans="1:7" s="160" customFormat="1" x14ac:dyDescent="0.35">
      <c r="A271" s="398"/>
      <c r="B271" s="399"/>
      <c r="C271" s="400"/>
      <c r="D271" s="409"/>
      <c r="E271" s="401"/>
      <c r="F271" s="411"/>
      <c r="G271" s="402">
        <f t="shared" si="18"/>
        <v>0</v>
      </c>
    </row>
    <row r="272" spans="1:7" s="160" customFormat="1" x14ac:dyDescent="0.35">
      <c r="A272" s="398"/>
      <c r="B272" s="399"/>
      <c r="C272" s="400"/>
      <c r="D272" s="409"/>
      <c r="E272" s="401"/>
      <c r="F272" s="411"/>
      <c r="G272" s="402">
        <f t="shared" si="18"/>
        <v>0</v>
      </c>
    </row>
    <row r="273" spans="1:7" s="160" customFormat="1" ht="24" thickBot="1" x14ac:dyDescent="0.4">
      <c r="A273" s="398"/>
      <c r="B273" s="399"/>
      <c r="C273" s="400"/>
      <c r="D273" s="409"/>
      <c r="E273" s="401"/>
      <c r="F273" s="411"/>
      <c r="G273" s="402">
        <f t="shared" si="18"/>
        <v>0</v>
      </c>
    </row>
    <row r="274" spans="1:7" s="160" customFormat="1" ht="24" thickBot="1" x14ac:dyDescent="0.4">
      <c r="A274" s="398"/>
      <c r="B274" s="399"/>
      <c r="C274" s="404" t="s">
        <v>760</v>
      </c>
      <c r="D274" s="409"/>
      <c r="E274" s="401"/>
      <c r="F274" s="411"/>
      <c r="G274" s="405">
        <f>SUM(G246:G273)</f>
        <v>0</v>
      </c>
    </row>
    <row r="275" spans="1:7" s="160" customFormat="1" x14ac:dyDescent="0.35">
      <c r="A275" s="398"/>
      <c r="B275" s="399"/>
      <c r="C275" s="400"/>
      <c r="D275" s="409"/>
      <c r="E275" s="401"/>
      <c r="F275" s="411"/>
      <c r="G275" s="402">
        <f t="shared" si="18"/>
        <v>0</v>
      </c>
    </row>
    <row r="276" spans="1:7" s="160" customFormat="1" x14ac:dyDescent="0.35">
      <c r="A276" s="398"/>
      <c r="B276" s="399"/>
      <c r="C276" s="400"/>
      <c r="D276" s="409"/>
      <c r="E276" s="401"/>
      <c r="F276" s="411"/>
      <c r="G276" s="402">
        <f t="shared" si="18"/>
        <v>0</v>
      </c>
    </row>
    <row r="277" spans="1:7" s="160" customFormat="1" x14ac:dyDescent="0.35">
      <c r="A277" s="398"/>
      <c r="B277" s="399"/>
      <c r="C277" s="400"/>
      <c r="D277" s="409"/>
      <c r="E277" s="401"/>
      <c r="F277" s="411"/>
      <c r="G277" s="402">
        <f t="shared" si="18"/>
        <v>0</v>
      </c>
    </row>
    <row r="278" spans="1:7" s="160" customFormat="1" ht="24" thickBot="1" x14ac:dyDescent="0.4">
      <c r="A278" s="398"/>
      <c r="B278" s="399"/>
      <c r="C278" s="400"/>
      <c r="D278" s="409"/>
      <c r="E278" s="401"/>
      <c r="F278" s="411"/>
      <c r="G278" s="402">
        <f t="shared" si="18"/>
        <v>0</v>
      </c>
    </row>
    <row r="279" spans="1:7" ht="18.75" customHeight="1" x14ac:dyDescent="0.35">
      <c r="A279" s="383"/>
      <c r="B279" s="384"/>
      <c r="C279" s="385"/>
      <c r="D279" s="386"/>
      <c r="E279" s="387"/>
      <c r="F279" s="410"/>
      <c r="G279" s="387"/>
    </row>
    <row r="280" spans="1:7" s="160" customFormat="1" x14ac:dyDescent="0.35">
      <c r="A280" s="388"/>
      <c r="B280" s="389"/>
      <c r="C280" s="390"/>
      <c r="D280" s="391"/>
      <c r="E280" s="391"/>
      <c r="F280" s="393" t="s">
        <v>2</v>
      </c>
      <c r="G280" s="393"/>
    </row>
    <row r="281" spans="1:7" s="160" customFormat="1" ht="24" thickBot="1" x14ac:dyDescent="0.4">
      <c r="A281" s="394"/>
      <c r="B281" s="395"/>
      <c r="C281" s="396" t="s">
        <v>753</v>
      </c>
      <c r="D281" s="397" t="s">
        <v>3</v>
      </c>
      <c r="E281" s="397" t="s">
        <v>1</v>
      </c>
      <c r="F281" s="397" t="s">
        <v>4</v>
      </c>
      <c r="G281" s="397" t="s">
        <v>5</v>
      </c>
    </row>
    <row r="282" spans="1:7" s="160" customFormat="1" ht="18" customHeight="1" x14ac:dyDescent="0.35">
      <c r="A282" s="398"/>
      <c r="B282" s="399"/>
      <c r="C282" s="400"/>
      <c r="D282" s="409"/>
      <c r="E282" s="401"/>
      <c r="F282" s="411"/>
      <c r="G282" s="402">
        <f t="shared" ref="G282:G283" si="19">ROUND(D282*F282,2)</f>
        <v>0</v>
      </c>
    </row>
    <row r="283" spans="1:7" s="160" customFormat="1" x14ac:dyDescent="0.35">
      <c r="A283" s="398"/>
      <c r="B283" s="399"/>
      <c r="C283" s="412" t="s">
        <v>820</v>
      </c>
      <c r="D283" s="409"/>
      <c r="E283" s="401"/>
      <c r="F283" s="411"/>
      <c r="G283" s="402">
        <f t="shared" si="19"/>
        <v>0</v>
      </c>
    </row>
    <row r="284" spans="1:7" s="160" customFormat="1" x14ac:dyDescent="0.35">
      <c r="A284" s="398"/>
      <c r="B284" s="399"/>
      <c r="C284" s="400"/>
      <c r="D284" s="409"/>
      <c r="E284" s="401"/>
      <c r="F284" s="411"/>
      <c r="G284" s="402">
        <f t="shared" si="18"/>
        <v>0</v>
      </c>
    </row>
    <row r="285" spans="1:7" s="160" customFormat="1" ht="24" thickBot="1" x14ac:dyDescent="0.4">
      <c r="A285" s="398"/>
      <c r="B285" s="399"/>
      <c r="C285" s="400"/>
      <c r="D285" s="409"/>
      <c r="E285" s="401"/>
      <c r="F285" s="411"/>
      <c r="G285" s="402">
        <f>D285*F285</f>
        <v>0</v>
      </c>
    </row>
    <row r="286" spans="1:7" s="160" customFormat="1" ht="47.25" thickBot="1" x14ac:dyDescent="0.4">
      <c r="A286" s="398"/>
      <c r="B286" s="399"/>
      <c r="C286" s="400" t="s">
        <v>952</v>
      </c>
      <c r="D286" s="409">
        <v>1</v>
      </c>
      <c r="E286" s="401" t="s">
        <v>756</v>
      </c>
      <c r="F286" s="411"/>
      <c r="G286" s="433">
        <f t="shared" ref="G286:G295" si="20">D286*F286</f>
        <v>0</v>
      </c>
    </row>
    <row r="287" spans="1:7" s="160" customFormat="1" x14ac:dyDescent="0.35">
      <c r="A287" s="398"/>
      <c r="B287" s="399"/>
      <c r="C287" s="400"/>
      <c r="D287" s="409"/>
      <c r="E287" s="401"/>
      <c r="F287" s="411"/>
      <c r="G287" s="402">
        <f t="shared" si="20"/>
        <v>0</v>
      </c>
    </row>
    <row r="288" spans="1:7" s="160" customFormat="1" x14ac:dyDescent="0.35">
      <c r="A288" s="398"/>
      <c r="B288" s="399"/>
      <c r="C288" s="400"/>
      <c r="D288" s="409"/>
      <c r="E288" s="401"/>
      <c r="F288" s="411"/>
      <c r="G288" s="402">
        <f t="shared" si="20"/>
        <v>0</v>
      </c>
    </row>
    <row r="289" spans="1:7" s="160" customFormat="1" x14ac:dyDescent="0.35">
      <c r="A289" s="398"/>
      <c r="B289" s="399"/>
      <c r="C289" s="400"/>
      <c r="D289" s="409"/>
      <c r="E289" s="401"/>
      <c r="F289" s="411"/>
      <c r="G289" s="402">
        <f t="shared" si="20"/>
        <v>0</v>
      </c>
    </row>
    <row r="290" spans="1:7" s="160" customFormat="1" x14ac:dyDescent="0.35">
      <c r="A290" s="398"/>
      <c r="B290" s="399"/>
      <c r="C290" s="400" t="s">
        <v>949</v>
      </c>
      <c r="D290" s="409">
        <v>1</v>
      </c>
      <c r="E290" s="401" t="s">
        <v>756</v>
      </c>
      <c r="F290" s="411"/>
      <c r="G290" s="402">
        <f t="shared" si="20"/>
        <v>0</v>
      </c>
    </row>
    <row r="291" spans="1:7" s="160" customFormat="1" x14ac:dyDescent="0.35">
      <c r="A291" s="398"/>
      <c r="B291" s="399"/>
      <c r="C291" s="400"/>
      <c r="D291" s="409"/>
      <c r="E291" s="401"/>
      <c r="F291" s="411"/>
      <c r="G291" s="402">
        <f t="shared" si="20"/>
        <v>0</v>
      </c>
    </row>
    <row r="292" spans="1:7" s="160" customFormat="1" x14ac:dyDescent="0.35">
      <c r="A292" s="398"/>
      <c r="B292" s="399"/>
      <c r="C292" s="400"/>
      <c r="D292" s="409"/>
      <c r="E292" s="401"/>
      <c r="F292" s="411"/>
      <c r="G292" s="402">
        <f t="shared" si="20"/>
        <v>0</v>
      </c>
    </row>
    <row r="293" spans="1:7" s="160" customFormat="1" x14ac:dyDescent="0.35">
      <c r="A293" s="398"/>
      <c r="B293" s="399"/>
      <c r="C293" s="400"/>
      <c r="D293" s="409"/>
      <c r="E293" s="401"/>
      <c r="F293" s="411"/>
      <c r="G293" s="402">
        <f t="shared" si="20"/>
        <v>0</v>
      </c>
    </row>
    <row r="294" spans="1:7" s="160" customFormat="1" x14ac:dyDescent="0.35">
      <c r="A294" s="398"/>
      <c r="B294" s="399"/>
      <c r="C294" s="400"/>
      <c r="D294" s="409"/>
      <c r="E294" s="401"/>
      <c r="F294" s="411"/>
      <c r="G294" s="402">
        <f t="shared" si="20"/>
        <v>0</v>
      </c>
    </row>
    <row r="295" spans="1:7" s="160" customFormat="1" x14ac:dyDescent="0.35">
      <c r="A295" s="398"/>
      <c r="B295" s="399"/>
      <c r="C295" s="400"/>
      <c r="D295" s="409"/>
      <c r="E295" s="401"/>
      <c r="F295" s="411"/>
      <c r="G295" s="402">
        <f t="shared" si="20"/>
        <v>0</v>
      </c>
    </row>
    <row r="296" spans="1:7" s="160" customFormat="1" x14ac:dyDescent="0.35">
      <c r="A296" s="398"/>
      <c r="B296" s="399"/>
      <c r="C296" s="400"/>
      <c r="D296" s="409"/>
      <c r="E296" s="401"/>
      <c r="F296" s="411"/>
      <c r="G296" s="402">
        <f t="shared" si="18"/>
        <v>0</v>
      </c>
    </row>
    <row r="297" spans="1:7" s="160" customFormat="1" x14ac:dyDescent="0.35">
      <c r="A297" s="398"/>
      <c r="B297" s="399"/>
      <c r="C297" s="400"/>
      <c r="D297" s="409"/>
      <c r="E297" s="401"/>
      <c r="F297" s="411"/>
      <c r="G297" s="402">
        <f t="shared" si="18"/>
        <v>0</v>
      </c>
    </row>
    <row r="298" spans="1:7" s="160" customFormat="1" x14ac:dyDescent="0.35">
      <c r="A298" s="398"/>
      <c r="B298" s="399"/>
      <c r="C298" s="400"/>
      <c r="D298" s="409"/>
      <c r="E298" s="401"/>
      <c r="F298" s="411"/>
      <c r="G298" s="402">
        <f t="shared" si="18"/>
        <v>0</v>
      </c>
    </row>
    <row r="299" spans="1:7" s="160" customFormat="1" x14ac:dyDescent="0.35">
      <c r="A299" s="398"/>
      <c r="B299" s="399"/>
      <c r="C299" s="400"/>
      <c r="D299" s="409"/>
      <c r="E299" s="401"/>
      <c r="F299" s="411"/>
      <c r="G299" s="402">
        <f>D299*F299</f>
        <v>0</v>
      </c>
    </row>
    <row r="300" spans="1:7" s="160" customFormat="1" x14ac:dyDescent="0.35">
      <c r="A300" s="398"/>
      <c r="B300" s="399"/>
      <c r="C300" s="400"/>
      <c r="D300" s="409"/>
      <c r="E300" s="401"/>
      <c r="F300" s="411"/>
      <c r="G300" s="402">
        <f t="shared" ref="G300:G305" si="21">D300*F300</f>
        <v>0</v>
      </c>
    </row>
    <row r="301" spans="1:7" s="160" customFormat="1" x14ac:dyDescent="0.35">
      <c r="A301" s="398"/>
      <c r="B301" s="399"/>
      <c r="C301" s="400"/>
      <c r="D301" s="409"/>
      <c r="E301" s="401"/>
      <c r="F301" s="411"/>
      <c r="G301" s="402">
        <f t="shared" si="21"/>
        <v>0</v>
      </c>
    </row>
    <row r="302" spans="1:7" s="160" customFormat="1" x14ac:dyDescent="0.35">
      <c r="A302" s="398"/>
      <c r="B302" s="399"/>
      <c r="C302" s="400"/>
      <c r="D302" s="409"/>
      <c r="E302" s="401"/>
      <c r="F302" s="411"/>
      <c r="G302" s="402">
        <f t="shared" si="21"/>
        <v>0</v>
      </c>
    </row>
    <row r="303" spans="1:7" s="160" customFormat="1" x14ac:dyDescent="0.35">
      <c r="A303" s="398"/>
      <c r="B303" s="399"/>
      <c r="C303" s="400"/>
      <c r="D303" s="409"/>
      <c r="E303" s="401"/>
      <c r="F303" s="411"/>
      <c r="G303" s="402">
        <f t="shared" si="21"/>
        <v>0</v>
      </c>
    </row>
    <row r="304" spans="1:7" s="160" customFormat="1" x14ac:dyDescent="0.35">
      <c r="A304" s="398"/>
      <c r="B304" s="399"/>
      <c r="C304" s="400"/>
      <c r="D304" s="409"/>
      <c r="E304" s="401"/>
      <c r="F304" s="411"/>
      <c r="G304" s="402">
        <f t="shared" si="21"/>
        <v>0</v>
      </c>
    </row>
    <row r="305" spans="1:7" s="160" customFormat="1" x14ac:dyDescent="0.35">
      <c r="A305" s="398"/>
      <c r="B305" s="399"/>
      <c r="C305" s="400"/>
      <c r="D305" s="409"/>
      <c r="E305" s="401"/>
      <c r="F305" s="411"/>
      <c r="G305" s="402">
        <f t="shared" si="21"/>
        <v>0</v>
      </c>
    </row>
    <row r="306" spans="1:7" s="160" customFormat="1" x14ac:dyDescent="0.35">
      <c r="A306" s="398"/>
      <c r="B306" s="399"/>
      <c r="C306" s="400"/>
      <c r="D306" s="409"/>
      <c r="E306" s="401"/>
      <c r="F306" s="411"/>
      <c r="G306" s="402">
        <f t="shared" si="18"/>
        <v>0</v>
      </c>
    </row>
    <row r="307" spans="1:7" s="160" customFormat="1" x14ac:dyDescent="0.35">
      <c r="A307" s="398"/>
      <c r="B307" s="399"/>
      <c r="C307" s="400"/>
      <c r="D307" s="409"/>
      <c r="E307" s="401"/>
      <c r="F307" s="411"/>
      <c r="G307" s="402">
        <f t="shared" si="18"/>
        <v>0</v>
      </c>
    </row>
    <row r="308" spans="1:7" s="160" customFormat="1" x14ac:dyDescent="0.35">
      <c r="A308" s="398"/>
      <c r="B308" s="399"/>
      <c r="C308" s="400"/>
      <c r="D308" s="409"/>
      <c r="E308" s="401"/>
      <c r="F308" s="411"/>
      <c r="G308" s="402">
        <f t="shared" si="18"/>
        <v>0</v>
      </c>
    </row>
    <row r="309" spans="1:7" s="160" customFormat="1" x14ac:dyDescent="0.35">
      <c r="A309" s="398"/>
      <c r="B309" s="399"/>
      <c r="C309" s="400"/>
      <c r="D309" s="409"/>
      <c r="E309" s="401"/>
      <c r="F309" s="411"/>
      <c r="G309" s="402">
        <f t="shared" si="18"/>
        <v>0</v>
      </c>
    </row>
    <row r="310" spans="1:7" s="160" customFormat="1" x14ac:dyDescent="0.35">
      <c r="A310" s="398"/>
      <c r="B310" s="399"/>
      <c r="C310" s="400"/>
      <c r="D310" s="409"/>
      <c r="E310" s="401"/>
      <c r="F310" s="411"/>
      <c r="G310" s="402">
        <f t="shared" si="18"/>
        <v>0</v>
      </c>
    </row>
    <row r="311" spans="1:7" s="160" customFormat="1" x14ac:dyDescent="0.35">
      <c r="A311" s="398"/>
      <c r="B311" s="399"/>
      <c r="C311" s="400"/>
      <c r="D311" s="409"/>
      <c r="E311" s="401"/>
      <c r="F311" s="411"/>
      <c r="G311" s="402">
        <f t="shared" si="18"/>
        <v>0</v>
      </c>
    </row>
    <row r="312" spans="1:7" s="160" customFormat="1" x14ac:dyDescent="0.35">
      <c r="A312" s="398"/>
      <c r="B312" s="399"/>
      <c r="C312" s="400"/>
      <c r="D312" s="409"/>
      <c r="E312" s="401"/>
      <c r="F312" s="411"/>
      <c r="G312" s="402">
        <f t="shared" si="18"/>
        <v>0</v>
      </c>
    </row>
    <row r="313" spans="1:7" s="160" customFormat="1" x14ac:dyDescent="0.35">
      <c r="A313" s="398"/>
      <c r="B313" s="399"/>
      <c r="C313" s="400"/>
      <c r="D313" s="409"/>
      <c r="E313" s="401"/>
      <c r="F313" s="411"/>
      <c r="G313" s="402">
        <f t="shared" si="18"/>
        <v>0</v>
      </c>
    </row>
    <row r="314" spans="1:7" s="160" customFormat="1" x14ac:dyDescent="0.35">
      <c r="A314" s="398"/>
      <c r="B314" s="399"/>
      <c r="C314" s="400"/>
      <c r="D314" s="409"/>
      <c r="E314" s="401"/>
      <c r="F314" s="411"/>
      <c r="G314" s="402">
        <f t="shared" si="18"/>
        <v>0</v>
      </c>
    </row>
    <row r="315" spans="1:7" s="160" customFormat="1" x14ac:dyDescent="0.35">
      <c r="A315" s="398"/>
      <c r="B315" s="399"/>
      <c r="C315" s="400"/>
      <c r="D315" s="409"/>
      <c r="E315" s="401"/>
      <c r="F315" s="411"/>
      <c r="G315" s="402">
        <f t="shared" si="18"/>
        <v>0</v>
      </c>
    </row>
    <row r="316" spans="1:7" s="160" customFormat="1" x14ac:dyDescent="0.35">
      <c r="A316" s="398"/>
      <c r="B316" s="399"/>
      <c r="C316" s="400"/>
      <c r="D316" s="409"/>
      <c r="E316" s="401"/>
      <c r="F316" s="411"/>
      <c r="G316" s="402">
        <f t="shared" si="18"/>
        <v>0</v>
      </c>
    </row>
    <row r="317" spans="1:7" s="160" customFormat="1" x14ac:dyDescent="0.35">
      <c r="A317" s="398"/>
      <c r="B317" s="399"/>
      <c r="C317" s="400"/>
      <c r="D317" s="409"/>
      <c r="E317" s="401"/>
      <c r="F317" s="411"/>
      <c r="G317" s="402">
        <f t="shared" si="18"/>
        <v>0</v>
      </c>
    </row>
    <row r="318" spans="1:7" s="160" customFormat="1" x14ac:dyDescent="0.35">
      <c r="A318" s="398"/>
      <c r="B318" s="399"/>
      <c r="C318" s="400"/>
      <c r="D318" s="409"/>
      <c r="E318" s="401"/>
      <c r="F318" s="411"/>
      <c r="G318" s="402">
        <f t="shared" si="18"/>
        <v>0</v>
      </c>
    </row>
    <row r="319" spans="1:7" s="160" customFormat="1" x14ac:dyDescent="0.35">
      <c r="A319" s="398"/>
      <c r="B319" s="399"/>
      <c r="C319" s="400"/>
      <c r="D319" s="409"/>
      <c r="E319" s="401"/>
      <c r="F319" s="411"/>
      <c r="G319" s="402">
        <f t="shared" si="18"/>
        <v>0</v>
      </c>
    </row>
    <row r="320" spans="1:7" s="160" customFormat="1" x14ac:dyDescent="0.35">
      <c r="A320" s="398"/>
      <c r="B320" s="399"/>
      <c r="C320" s="400"/>
      <c r="D320" s="409"/>
      <c r="E320" s="401"/>
      <c r="F320" s="411"/>
      <c r="G320" s="402">
        <f t="shared" si="18"/>
        <v>0</v>
      </c>
    </row>
    <row r="321" spans="1:7" s="160" customFormat="1" x14ac:dyDescent="0.35">
      <c r="A321" s="398"/>
      <c r="B321" s="399"/>
      <c r="C321" s="400"/>
      <c r="D321" s="409"/>
      <c r="E321" s="401"/>
      <c r="F321" s="411"/>
      <c r="G321" s="402">
        <f t="shared" si="18"/>
        <v>0</v>
      </c>
    </row>
    <row r="322" spans="1:7" s="160" customFormat="1" x14ac:dyDescent="0.35">
      <c r="A322" s="398"/>
      <c r="B322" s="399"/>
      <c r="C322" s="400"/>
      <c r="D322" s="409"/>
      <c r="E322" s="401"/>
      <c r="F322" s="411"/>
      <c r="G322" s="402">
        <f t="shared" si="18"/>
        <v>0</v>
      </c>
    </row>
    <row r="323" spans="1:7" s="160" customFormat="1" x14ac:dyDescent="0.35">
      <c r="A323" s="398"/>
      <c r="B323" s="399"/>
      <c r="C323" s="400"/>
      <c r="D323" s="409"/>
      <c r="E323" s="401"/>
      <c r="F323" s="411"/>
      <c r="G323" s="402"/>
    </row>
    <row r="324" spans="1:7" s="160" customFormat="1" ht="24" thickBot="1" x14ac:dyDescent="0.4">
      <c r="A324" s="398"/>
      <c r="B324" s="399"/>
      <c r="C324" s="400"/>
      <c r="D324" s="409"/>
      <c r="E324" s="401"/>
      <c r="F324" s="411"/>
      <c r="G324" s="402">
        <f t="shared" ref="G324:G383" si="22">ROUND(D324*F324,2)</f>
        <v>0</v>
      </c>
    </row>
    <row r="325" spans="1:7" s="160" customFormat="1" ht="24" thickBot="1" x14ac:dyDescent="0.4">
      <c r="A325" s="398"/>
      <c r="B325" s="399"/>
      <c r="C325" s="404" t="s">
        <v>760</v>
      </c>
      <c r="D325" s="409"/>
      <c r="E325" s="401"/>
      <c r="F325" s="411"/>
      <c r="G325" s="405">
        <f>SUM(G283:G324)</f>
        <v>0</v>
      </c>
    </row>
    <row r="326" spans="1:7" s="160" customFormat="1" x14ac:dyDescent="0.35">
      <c r="A326" s="398"/>
      <c r="B326" s="399"/>
      <c r="C326" s="400"/>
      <c r="D326" s="409"/>
      <c r="E326" s="401"/>
      <c r="F326" s="411"/>
      <c r="G326" s="402">
        <f t="shared" si="22"/>
        <v>0</v>
      </c>
    </row>
    <row r="327" spans="1:7" s="160" customFormat="1" x14ac:dyDescent="0.35">
      <c r="A327" s="398"/>
      <c r="B327" s="399"/>
      <c r="C327" s="400"/>
      <c r="D327" s="409"/>
      <c r="E327" s="401"/>
      <c r="F327" s="411"/>
      <c r="G327" s="402">
        <f t="shared" si="22"/>
        <v>0</v>
      </c>
    </row>
    <row r="328" spans="1:7" s="160" customFormat="1" x14ac:dyDescent="0.35">
      <c r="A328" s="398"/>
      <c r="B328" s="399"/>
      <c r="C328" s="400"/>
      <c r="D328" s="409"/>
      <c r="E328" s="401"/>
      <c r="F328" s="411"/>
      <c r="G328" s="402">
        <f t="shared" si="22"/>
        <v>0</v>
      </c>
    </row>
    <row r="329" spans="1:7" s="160" customFormat="1" ht="24" thickBot="1" x14ac:dyDescent="0.4">
      <c r="A329" s="398"/>
      <c r="B329" s="399"/>
      <c r="C329" s="400"/>
      <c r="D329" s="409"/>
      <c r="E329" s="401"/>
      <c r="F329" s="411"/>
      <c r="G329" s="402">
        <f t="shared" si="22"/>
        <v>0</v>
      </c>
    </row>
    <row r="330" spans="1:7" ht="18.75" customHeight="1" x14ac:dyDescent="0.35">
      <c r="A330" s="383"/>
      <c r="B330" s="384"/>
      <c r="C330" s="385"/>
      <c r="D330" s="386"/>
      <c r="E330" s="387"/>
      <c r="F330" s="410"/>
      <c r="G330" s="387"/>
    </row>
    <row r="331" spans="1:7" s="160" customFormat="1" x14ac:dyDescent="0.35">
      <c r="A331" s="388"/>
      <c r="B331" s="389"/>
      <c r="C331" s="390"/>
      <c r="D331" s="391"/>
      <c r="E331" s="391"/>
      <c r="F331" s="393" t="s">
        <v>2</v>
      </c>
      <c r="G331" s="393"/>
    </row>
    <row r="332" spans="1:7" s="160" customFormat="1" ht="24" thickBot="1" x14ac:dyDescent="0.4">
      <c r="A332" s="394"/>
      <c r="B332" s="395"/>
      <c r="C332" s="396" t="s">
        <v>753</v>
      </c>
      <c r="D332" s="397" t="s">
        <v>3</v>
      </c>
      <c r="E332" s="397" t="s">
        <v>1</v>
      </c>
      <c r="F332" s="397" t="s">
        <v>4</v>
      </c>
      <c r="G332" s="397" t="s">
        <v>5</v>
      </c>
    </row>
    <row r="333" spans="1:7" s="160" customFormat="1" ht="18" customHeight="1" x14ac:dyDescent="0.35">
      <c r="A333" s="398"/>
      <c r="B333" s="399"/>
      <c r="C333" s="400"/>
      <c r="D333" s="409"/>
      <c r="E333" s="401"/>
      <c r="F333" s="411"/>
      <c r="G333" s="402">
        <f t="shared" ref="G333:G334" si="23">ROUND(D333*F333,2)</f>
        <v>0</v>
      </c>
    </row>
    <row r="334" spans="1:7" s="160" customFormat="1" x14ac:dyDescent="0.35">
      <c r="A334" s="398"/>
      <c r="B334" s="399"/>
      <c r="C334" s="412" t="s">
        <v>825</v>
      </c>
      <c r="D334" s="409"/>
      <c r="E334" s="401"/>
      <c r="F334" s="411"/>
      <c r="G334" s="402">
        <f t="shared" si="23"/>
        <v>0</v>
      </c>
    </row>
    <row r="335" spans="1:7" s="160" customFormat="1" x14ac:dyDescent="0.35">
      <c r="A335" s="398"/>
      <c r="B335" s="399"/>
      <c r="C335" s="400"/>
      <c r="D335" s="409"/>
      <c r="E335" s="401"/>
      <c r="F335" s="411"/>
      <c r="G335" s="402">
        <f t="shared" si="22"/>
        <v>0</v>
      </c>
    </row>
    <row r="336" spans="1:7" s="160" customFormat="1" ht="24" thickBot="1" x14ac:dyDescent="0.4">
      <c r="A336" s="398"/>
      <c r="B336" s="399"/>
      <c r="C336" s="400"/>
      <c r="D336" s="409"/>
      <c r="E336" s="401"/>
      <c r="F336" s="411"/>
      <c r="G336" s="402">
        <f t="shared" si="22"/>
        <v>0</v>
      </c>
    </row>
    <row r="337" spans="1:7" s="160" customFormat="1" ht="47.25" thickBot="1" x14ac:dyDescent="0.4">
      <c r="A337" s="398"/>
      <c r="B337" s="399"/>
      <c r="C337" s="400" t="s">
        <v>953</v>
      </c>
      <c r="D337" s="409">
        <v>1</v>
      </c>
      <c r="E337" s="401" t="s">
        <v>819</v>
      </c>
      <c r="F337" s="411"/>
      <c r="G337" s="433">
        <f t="shared" ref="G337" si="24">D337*F337</f>
        <v>0</v>
      </c>
    </row>
    <row r="338" spans="1:7" s="160" customFormat="1" x14ac:dyDescent="0.35">
      <c r="A338" s="398"/>
      <c r="B338" s="399"/>
      <c r="C338" s="400"/>
      <c r="D338" s="409"/>
      <c r="E338" s="401"/>
      <c r="F338" s="411"/>
      <c r="G338" s="402">
        <f t="shared" si="22"/>
        <v>0</v>
      </c>
    </row>
    <row r="339" spans="1:7" s="160" customFormat="1" x14ac:dyDescent="0.35">
      <c r="A339" s="398"/>
      <c r="B339" s="399"/>
      <c r="C339" s="400"/>
      <c r="D339" s="409"/>
      <c r="E339" s="401"/>
      <c r="F339" s="411"/>
      <c r="G339" s="402">
        <f t="shared" si="22"/>
        <v>0</v>
      </c>
    </row>
    <row r="340" spans="1:7" s="160" customFormat="1" x14ac:dyDescent="0.35">
      <c r="A340" s="398"/>
      <c r="B340" s="399"/>
      <c r="C340" s="400"/>
      <c r="D340" s="409"/>
      <c r="E340" s="401"/>
      <c r="F340" s="411"/>
      <c r="G340" s="402">
        <f t="shared" si="22"/>
        <v>0</v>
      </c>
    </row>
    <row r="341" spans="1:7" s="160" customFormat="1" x14ac:dyDescent="0.35">
      <c r="A341" s="398"/>
      <c r="B341" s="399"/>
      <c r="C341" s="400"/>
      <c r="D341" s="409"/>
      <c r="E341" s="401"/>
      <c r="F341" s="411"/>
      <c r="G341" s="402">
        <f t="shared" si="22"/>
        <v>0</v>
      </c>
    </row>
    <row r="342" spans="1:7" s="160" customFormat="1" x14ac:dyDescent="0.35">
      <c r="A342" s="398"/>
      <c r="B342" s="399"/>
      <c r="C342" s="400"/>
      <c r="D342" s="409"/>
      <c r="E342" s="401"/>
      <c r="F342" s="411"/>
      <c r="G342" s="402">
        <f t="shared" si="22"/>
        <v>0</v>
      </c>
    </row>
    <row r="343" spans="1:7" s="160" customFormat="1" x14ac:dyDescent="0.35">
      <c r="A343" s="398"/>
      <c r="B343" s="399"/>
      <c r="C343" s="400"/>
      <c r="D343" s="409"/>
      <c r="E343" s="401"/>
      <c r="F343" s="411"/>
      <c r="G343" s="402">
        <f t="shared" si="22"/>
        <v>0</v>
      </c>
    </row>
    <row r="344" spans="1:7" s="160" customFormat="1" x14ac:dyDescent="0.35">
      <c r="A344" s="398"/>
      <c r="B344" s="399"/>
      <c r="C344" s="400"/>
      <c r="D344" s="409"/>
      <c r="E344" s="401"/>
      <c r="F344" s="411"/>
      <c r="G344" s="402">
        <f t="shared" si="22"/>
        <v>0</v>
      </c>
    </row>
    <row r="345" spans="1:7" s="160" customFormat="1" x14ac:dyDescent="0.35">
      <c r="A345" s="398"/>
      <c r="B345" s="399"/>
      <c r="C345" s="400"/>
      <c r="D345" s="409"/>
      <c r="E345" s="401"/>
      <c r="F345" s="411"/>
      <c r="G345" s="402">
        <f t="shared" si="22"/>
        <v>0</v>
      </c>
    </row>
    <row r="346" spans="1:7" s="160" customFormat="1" x14ac:dyDescent="0.35">
      <c r="A346" s="398"/>
      <c r="B346" s="399"/>
      <c r="C346" s="400"/>
      <c r="D346" s="409"/>
      <c r="E346" s="401"/>
      <c r="F346" s="411"/>
      <c r="G346" s="402"/>
    </row>
    <row r="347" spans="1:7" s="160" customFormat="1" x14ac:dyDescent="0.35">
      <c r="A347" s="398"/>
      <c r="B347" s="399"/>
      <c r="C347" s="400"/>
      <c r="D347" s="409"/>
      <c r="E347" s="401"/>
      <c r="F347" s="411"/>
      <c r="G347" s="402">
        <f t="shared" si="22"/>
        <v>0</v>
      </c>
    </row>
    <row r="348" spans="1:7" s="160" customFormat="1" x14ac:dyDescent="0.35">
      <c r="A348" s="398"/>
      <c r="B348" s="399"/>
      <c r="C348" s="400"/>
      <c r="D348" s="409"/>
      <c r="E348" s="401"/>
      <c r="F348" s="411"/>
      <c r="G348" s="402"/>
    </row>
    <row r="349" spans="1:7" s="160" customFormat="1" x14ac:dyDescent="0.35">
      <c r="A349" s="398"/>
      <c r="B349" s="399"/>
      <c r="C349" s="400"/>
      <c r="D349" s="409"/>
      <c r="E349" s="401"/>
      <c r="F349" s="411"/>
      <c r="G349" s="402">
        <f t="shared" si="22"/>
        <v>0</v>
      </c>
    </row>
    <row r="350" spans="1:7" s="160" customFormat="1" ht="69.75" x14ac:dyDescent="0.35">
      <c r="A350" s="398"/>
      <c r="B350" s="399"/>
      <c r="C350" s="400" t="s">
        <v>818</v>
      </c>
      <c r="D350" s="409">
        <v>1</v>
      </c>
      <c r="E350" s="401" t="s">
        <v>756</v>
      </c>
      <c r="F350" s="411"/>
      <c r="G350" s="402">
        <f t="shared" ref="G350" si="25">D350*F350</f>
        <v>0</v>
      </c>
    </row>
    <row r="351" spans="1:7" s="160" customFormat="1" x14ac:dyDescent="0.35">
      <c r="A351" s="398"/>
      <c r="B351" s="399"/>
      <c r="C351" s="400"/>
      <c r="D351" s="409"/>
      <c r="E351" s="401"/>
      <c r="F351" s="411"/>
      <c r="G351" s="402">
        <f t="shared" si="22"/>
        <v>0</v>
      </c>
    </row>
    <row r="352" spans="1:7" s="160" customFormat="1" x14ac:dyDescent="0.35">
      <c r="A352" s="398"/>
      <c r="B352" s="399"/>
      <c r="C352" s="400"/>
      <c r="D352" s="409"/>
      <c r="E352" s="401"/>
      <c r="F352" s="411"/>
      <c r="G352" s="402">
        <f t="shared" si="22"/>
        <v>0</v>
      </c>
    </row>
    <row r="353" spans="1:7" s="160" customFormat="1" x14ac:dyDescent="0.35">
      <c r="A353" s="398"/>
      <c r="B353" s="399"/>
      <c r="C353" s="400"/>
      <c r="D353" s="409"/>
      <c r="E353" s="401"/>
      <c r="F353" s="411"/>
      <c r="G353" s="402">
        <f t="shared" si="22"/>
        <v>0</v>
      </c>
    </row>
    <row r="354" spans="1:7" s="160" customFormat="1" x14ac:dyDescent="0.35">
      <c r="A354" s="398"/>
      <c r="B354" s="399"/>
      <c r="C354" s="400"/>
      <c r="D354" s="409"/>
      <c r="E354" s="401"/>
      <c r="F354" s="411"/>
      <c r="G354" s="402">
        <f t="shared" si="22"/>
        <v>0</v>
      </c>
    </row>
    <row r="355" spans="1:7" s="160" customFormat="1" x14ac:dyDescent="0.35">
      <c r="A355" s="398"/>
      <c r="B355" s="399"/>
      <c r="C355" s="400"/>
      <c r="D355" s="409"/>
      <c r="E355" s="401"/>
      <c r="F355" s="411"/>
      <c r="G355" s="402">
        <f t="shared" si="22"/>
        <v>0</v>
      </c>
    </row>
    <row r="356" spans="1:7" s="160" customFormat="1" x14ac:dyDescent="0.35">
      <c r="A356" s="398"/>
      <c r="B356" s="399"/>
      <c r="C356" s="400"/>
      <c r="D356" s="409"/>
      <c r="E356" s="401"/>
      <c r="F356" s="411"/>
      <c r="G356" s="402">
        <f t="shared" si="22"/>
        <v>0</v>
      </c>
    </row>
    <row r="357" spans="1:7" s="160" customFormat="1" x14ac:dyDescent="0.35">
      <c r="A357" s="398"/>
      <c r="B357" s="399"/>
      <c r="C357" s="400"/>
      <c r="D357" s="409"/>
      <c r="E357" s="401"/>
      <c r="F357" s="411"/>
      <c r="G357" s="402">
        <f t="shared" si="22"/>
        <v>0</v>
      </c>
    </row>
    <row r="358" spans="1:7" s="160" customFormat="1" x14ac:dyDescent="0.35">
      <c r="A358" s="398"/>
      <c r="B358" s="399"/>
      <c r="C358" s="400"/>
      <c r="D358" s="409"/>
      <c r="E358" s="401"/>
      <c r="F358" s="411"/>
      <c r="G358" s="402">
        <f t="shared" si="22"/>
        <v>0</v>
      </c>
    </row>
    <row r="359" spans="1:7" s="160" customFormat="1" x14ac:dyDescent="0.35">
      <c r="A359" s="398"/>
      <c r="B359" s="399"/>
      <c r="C359" s="400"/>
      <c r="D359" s="409"/>
      <c r="E359" s="401"/>
      <c r="F359" s="411"/>
      <c r="G359" s="402">
        <f t="shared" si="22"/>
        <v>0</v>
      </c>
    </row>
    <row r="360" spans="1:7" s="160" customFormat="1" x14ac:dyDescent="0.35">
      <c r="A360" s="398"/>
      <c r="B360" s="399"/>
      <c r="C360" s="400"/>
      <c r="D360" s="409"/>
      <c r="E360" s="401"/>
      <c r="F360" s="411"/>
      <c r="G360" s="402">
        <f t="shared" si="22"/>
        <v>0</v>
      </c>
    </row>
    <row r="361" spans="1:7" s="160" customFormat="1" x14ac:dyDescent="0.35">
      <c r="A361" s="398"/>
      <c r="B361" s="399"/>
      <c r="C361" s="400"/>
      <c r="D361" s="409"/>
      <c r="E361" s="401"/>
      <c r="F361" s="411"/>
      <c r="G361" s="402">
        <f t="shared" si="22"/>
        <v>0</v>
      </c>
    </row>
    <row r="362" spans="1:7" s="160" customFormat="1" x14ac:dyDescent="0.35">
      <c r="A362" s="398"/>
      <c r="B362" s="399"/>
      <c r="C362" s="400"/>
      <c r="D362" s="409"/>
      <c r="E362" s="401"/>
      <c r="F362" s="411"/>
      <c r="G362" s="402">
        <f t="shared" si="22"/>
        <v>0</v>
      </c>
    </row>
    <row r="363" spans="1:7" s="160" customFormat="1" x14ac:dyDescent="0.35">
      <c r="A363" s="398"/>
      <c r="B363" s="399"/>
      <c r="C363" s="400"/>
      <c r="D363" s="409"/>
      <c r="E363" s="401"/>
      <c r="F363" s="411"/>
      <c r="G363" s="402">
        <f t="shared" si="22"/>
        <v>0</v>
      </c>
    </row>
    <row r="364" spans="1:7" s="160" customFormat="1" x14ac:dyDescent="0.35">
      <c r="A364" s="398"/>
      <c r="B364" s="399"/>
      <c r="C364" s="400"/>
      <c r="D364" s="409"/>
      <c r="E364" s="401"/>
      <c r="F364" s="411"/>
      <c r="G364" s="402">
        <f t="shared" si="22"/>
        <v>0</v>
      </c>
    </row>
    <row r="365" spans="1:7" s="160" customFormat="1" x14ac:dyDescent="0.35">
      <c r="A365" s="398"/>
      <c r="B365" s="399"/>
      <c r="C365" s="400"/>
      <c r="D365" s="409"/>
      <c r="E365" s="401"/>
      <c r="F365" s="411"/>
      <c r="G365" s="402">
        <f t="shared" si="22"/>
        <v>0</v>
      </c>
    </row>
    <row r="366" spans="1:7" s="160" customFormat="1" x14ac:dyDescent="0.35">
      <c r="A366" s="398"/>
      <c r="B366" s="399"/>
      <c r="C366" s="400"/>
      <c r="D366" s="409"/>
      <c r="E366" s="401"/>
      <c r="F366" s="411"/>
      <c r="G366" s="402">
        <f t="shared" si="22"/>
        <v>0</v>
      </c>
    </row>
    <row r="367" spans="1:7" s="160" customFormat="1" x14ac:dyDescent="0.35">
      <c r="A367" s="398"/>
      <c r="B367" s="399"/>
      <c r="C367" s="400"/>
      <c r="D367" s="409"/>
      <c r="E367" s="401"/>
      <c r="F367" s="411"/>
      <c r="G367" s="402">
        <f t="shared" si="22"/>
        <v>0</v>
      </c>
    </row>
    <row r="368" spans="1:7" s="160" customFormat="1" x14ac:dyDescent="0.35">
      <c r="A368" s="398"/>
      <c r="B368" s="399"/>
      <c r="C368" s="400"/>
      <c r="D368" s="409"/>
      <c r="E368" s="401"/>
      <c r="F368" s="411"/>
      <c r="G368" s="402">
        <f t="shared" si="22"/>
        <v>0</v>
      </c>
    </row>
    <row r="369" spans="1:7" s="160" customFormat="1" x14ac:dyDescent="0.35">
      <c r="A369" s="398"/>
      <c r="B369" s="399"/>
      <c r="C369" s="400"/>
      <c r="D369" s="409"/>
      <c r="E369" s="401"/>
      <c r="F369" s="411"/>
      <c r="G369" s="402"/>
    </row>
    <row r="370" spans="1:7" s="160" customFormat="1" ht="24" thickBot="1" x14ac:dyDescent="0.4">
      <c r="A370" s="398"/>
      <c r="B370" s="399"/>
      <c r="C370" s="400"/>
      <c r="D370" s="409"/>
      <c r="E370" s="401"/>
      <c r="F370" s="411"/>
      <c r="G370" s="402">
        <f t="shared" si="22"/>
        <v>0</v>
      </c>
    </row>
    <row r="371" spans="1:7" s="160" customFormat="1" ht="24" thickBot="1" x14ac:dyDescent="0.4">
      <c r="A371" s="398"/>
      <c r="B371" s="399"/>
      <c r="C371" s="404" t="s">
        <v>760</v>
      </c>
      <c r="D371" s="409"/>
      <c r="E371" s="401"/>
      <c r="F371" s="411"/>
      <c r="G371" s="405">
        <f>SUM(G336:G370)</f>
        <v>0</v>
      </c>
    </row>
    <row r="372" spans="1:7" s="160" customFormat="1" x14ac:dyDescent="0.35">
      <c r="A372" s="398"/>
      <c r="B372" s="399"/>
      <c r="C372" s="400"/>
      <c r="D372" s="409"/>
      <c r="E372" s="401"/>
      <c r="F372" s="411"/>
      <c r="G372" s="402">
        <f t="shared" si="22"/>
        <v>0</v>
      </c>
    </row>
    <row r="373" spans="1:7" s="160" customFormat="1" x14ac:dyDescent="0.35">
      <c r="A373" s="398"/>
      <c r="B373" s="399"/>
      <c r="C373" s="400"/>
      <c r="D373" s="409"/>
      <c r="E373" s="401"/>
      <c r="F373" s="411"/>
      <c r="G373" s="402">
        <f t="shared" si="22"/>
        <v>0</v>
      </c>
    </row>
    <row r="374" spans="1:7" s="160" customFormat="1" x14ac:dyDescent="0.35">
      <c r="A374" s="398"/>
      <c r="B374" s="399"/>
      <c r="C374" s="400"/>
      <c r="D374" s="409"/>
      <c r="E374" s="401"/>
      <c r="F374" s="411"/>
      <c r="G374" s="402">
        <f t="shared" si="22"/>
        <v>0</v>
      </c>
    </row>
    <row r="375" spans="1:7" s="160" customFormat="1" x14ac:dyDescent="0.35">
      <c r="A375" s="398"/>
      <c r="B375" s="399"/>
      <c r="C375" s="400"/>
      <c r="D375" s="409"/>
      <c r="E375" s="401"/>
      <c r="F375" s="411"/>
      <c r="G375" s="402">
        <f t="shared" si="22"/>
        <v>0</v>
      </c>
    </row>
    <row r="376" spans="1:7" s="160" customFormat="1" x14ac:dyDescent="0.35">
      <c r="A376" s="398"/>
      <c r="B376" s="399"/>
      <c r="C376" s="400"/>
      <c r="D376" s="409"/>
      <c r="E376" s="401"/>
      <c r="F376" s="411"/>
      <c r="G376" s="402">
        <f t="shared" si="22"/>
        <v>0</v>
      </c>
    </row>
    <row r="377" spans="1:7" s="160" customFormat="1" ht="24" thickBot="1" x14ac:dyDescent="0.4">
      <c r="A377" s="398"/>
      <c r="B377" s="399"/>
      <c r="C377" s="400"/>
      <c r="D377" s="409"/>
      <c r="E377" s="401"/>
      <c r="F377" s="411"/>
      <c r="G377" s="402">
        <f t="shared" si="22"/>
        <v>0</v>
      </c>
    </row>
    <row r="378" spans="1:7" ht="18.75" customHeight="1" x14ac:dyDescent="0.35">
      <c r="A378" s="383"/>
      <c r="B378" s="384"/>
      <c r="C378" s="385"/>
      <c r="D378" s="386"/>
      <c r="E378" s="387"/>
      <c r="F378" s="410"/>
      <c r="G378" s="387"/>
    </row>
    <row r="379" spans="1:7" s="160" customFormat="1" x14ac:dyDescent="0.35">
      <c r="A379" s="388"/>
      <c r="B379" s="389"/>
      <c r="C379" s="390"/>
      <c r="D379" s="391"/>
      <c r="E379" s="391"/>
      <c r="F379" s="393" t="s">
        <v>2</v>
      </c>
      <c r="G379" s="393"/>
    </row>
    <row r="380" spans="1:7" s="160" customFormat="1" ht="24" thickBot="1" x14ac:dyDescent="0.4">
      <c r="A380" s="394"/>
      <c r="B380" s="395"/>
      <c r="C380" s="396" t="s">
        <v>753</v>
      </c>
      <c r="D380" s="397" t="s">
        <v>3</v>
      </c>
      <c r="E380" s="397" t="s">
        <v>1</v>
      </c>
      <c r="F380" s="397" t="s">
        <v>4</v>
      </c>
      <c r="G380" s="397" t="s">
        <v>5</v>
      </c>
    </row>
    <row r="381" spans="1:7" s="160" customFormat="1" ht="18" customHeight="1" x14ac:dyDescent="0.35">
      <c r="A381" s="398"/>
      <c r="B381" s="399"/>
      <c r="C381" s="400"/>
      <c r="D381" s="409"/>
      <c r="E381" s="401"/>
      <c r="F381" s="411"/>
      <c r="G381" s="402">
        <f t="shared" ref="G381:G382" si="26">ROUND(D381*F381,2)</f>
        <v>0</v>
      </c>
    </row>
    <row r="382" spans="1:7" s="160" customFormat="1" ht="46.5" x14ac:dyDescent="0.35">
      <c r="A382" s="398"/>
      <c r="B382" s="399"/>
      <c r="C382" s="412" t="s">
        <v>885</v>
      </c>
      <c r="D382" s="409"/>
      <c r="E382" s="401"/>
      <c r="F382" s="411"/>
      <c r="G382" s="402">
        <f t="shared" si="26"/>
        <v>0</v>
      </c>
    </row>
    <row r="383" spans="1:7" s="160" customFormat="1" x14ac:dyDescent="0.35">
      <c r="A383" s="398"/>
      <c r="B383" s="399"/>
      <c r="C383" s="400"/>
      <c r="D383" s="409"/>
      <c r="E383" s="401"/>
      <c r="F383" s="411"/>
      <c r="G383" s="402">
        <f t="shared" si="22"/>
        <v>0</v>
      </c>
    </row>
    <row r="384" spans="1:7" s="160" customFormat="1" ht="93" x14ac:dyDescent="0.35">
      <c r="A384" s="398"/>
      <c r="B384" s="399"/>
      <c r="C384" s="400" t="s">
        <v>829</v>
      </c>
      <c r="D384" s="409">
        <v>54</v>
      </c>
      <c r="E384" s="401" t="s">
        <v>772</v>
      </c>
      <c r="F384" s="411"/>
      <c r="G384" s="402">
        <f t="shared" ref="G384:G402" si="27">D384*F384</f>
        <v>0</v>
      </c>
    </row>
    <row r="385" spans="1:7" s="160" customFormat="1" x14ac:dyDescent="0.35">
      <c r="A385" s="398"/>
      <c r="B385" s="399"/>
      <c r="C385" s="400"/>
      <c r="D385" s="409"/>
      <c r="E385" s="401"/>
      <c r="F385" s="411"/>
      <c r="G385" s="402">
        <f t="shared" si="27"/>
        <v>0</v>
      </c>
    </row>
    <row r="386" spans="1:7" s="160" customFormat="1" ht="116.25" x14ac:dyDescent="0.35">
      <c r="A386" s="398"/>
      <c r="B386" s="399"/>
      <c r="C386" s="435" t="s">
        <v>831</v>
      </c>
      <c r="D386" s="442">
        <v>282</v>
      </c>
      <c r="E386" s="440" t="s">
        <v>772</v>
      </c>
      <c r="F386" s="438"/>
      <c r="G386" s="439">
        <f t="shared" si="27"/>
        <v>0</v>
      </c>
    </row>
    <row r="387" spans="1:7" s="160" customFormat="1" x14ac:dyDescent="0.35">
      <c r="A387" s="398"/>
      <c r="B387" s="399"/>
      <c r="C387" s="400"/>
      <c r="D387" s="409"/>
      <c r="E387" s="401"/>
      <c r="F387" s="411"/>
      <c r="G387" s="402">
        <f t="shared" si="27"/>
        <v>0</v>
      </c>
    </row>
    <row r="388" spans="1:7" s="160" customFormat="1" ht="93" x14ac:dyDescent="0.35">
      <c r="A388" s="398"/>
      <c r="B388" s="399"/>
      <c r="C388" s="400" t="s">
        <v>828</v>
      </c>
      <c r="D388" s="409">
        <v>20</v>
      </c>
      <c r="E388" s="401" t="s">
        <v>26</v>
      </c>
      <c r="F388" s="411"/>
      <c r="G388" s="402">
        <f t="shared" si="27"/>
        <v>0</v>
      </c>
    </row>
    <row r="389" spans="1:7" s="160" customFormat="1" x14ac:dyDescent="0.35">
      <c r="A389" s="398"/>
      <c r="B389" s="399"/>
      <c r="C389" s="400"/>
      <c r="D389" s="409"/>
      <c r="E389" s="401"/>
      <c r="F389" s="411"/>
      <c r="G389" s="402">
        <f t="shared" si="27"/>
        <v>0</v>
      </c>
    </row>
    <row r="390" spans="1:7" s="160" customFormat="1" ht="69.75" x14ac:dyDescent="0.35">
      <c r="A390" s="398"/>
      <c r="B390" s="399"/>
      <c r="C390" s="435" t="s">
        <v>827</v>
      </c>
      <c r="D390" s="442">
        <v>164</v>
      </c>
      <c r="E390" s="440" t="s">
        <v>26</v>
      </c>
      <c r="F390" s="438"/>
      <c r="G390" s="439">
        <f t="shared" si="27"/>
        <v>0</v>
      </c>
    </row>
    <row r="391" spans="1:7" s="160" customFormat="1" x14ac:dyDescent="0.35">
      <c r="A391" s="398"/>
      <c r="B391" s="399"/>
      <c r="C391" s="400"/>
      <c r="D391" s="409"/>
      <c r="E391" s="401"/>
      <c r="F391" s="411"/>
      <c r="G391" s="402">
        <f t="shared" si="27"/>
        <v>0</v>
      </c>
    </row>
    <row r="392" spans="1:7" s="160" customFormat="1" x14ac:dyDescent="0.35">
      <c r="A392" s="398"/>
      <c r="B392" s="399"/>
      <c r="C392" s="435" t="s">
        <v>826</v>
      </c>
      <c r="D392" s="442">
        <v>12</v>
      </c>
      <c r="E392" s="440" t="s">
        <v>761</v>
      </c>
      <c r="F392" s="438"/>
      <c r="G392" s="439">
        <f t="shared" si="27"/>
        <v>0</v>
      </c>
    </row>
    <row r="393" spans="1:7" s="160" customFormat="1" x14ac:dyDescent="0.35">
      <c r="A393" s="398"/>
      <c r="B393" s="399"/>
      <c r="C393" s="400"/>
      <c r="D393" s="409"/>
      <c r="E393" s="401"/>
      <c r="F393" s="411"/>
      <c r="G393" s="402">
        <f t="shared" si="27"/>
        <v>0</v>
      </c>
    </row>
    <row r="394" spans="1:7" s="160" customFormat="1" ht="46.5" x14ac:dyDescent="0.35">
      <c r="A394" s="398"/>
      <c r="B394" s="399"/>
      <c r="C394" s="435" t="s">
        <v>846</v>
      </c>
      <c r="D394" s="442">
        <v>42</v>
      </c>
      <c r="E394" s="440" t="s">
        <v>777</v>
      </c>
      <c r="F394" s="438"/>
      <c r="G394" s="439">
        <f t="shared" si="27"/>
        <v>0</v>
      </c>
    </row>
    <row r="395" spans="1:7" s="160" customFormat="1" x14ac:dyDescent="0.35">
      <c r="A395" s="398"/>
      <c r="B395" s="399"/>
      <c r="C395" s="400"/>
      <c r="D395" s="409"/>
      <c r="E395" s="401"/>
      <c r="F395" s="411"/>
      <c r="G395" s="402">
        <f t="shared" si="27"/>
        <v>0</v>
      </c>
    </row>
    <row r="396" spans="1:7" s="160" customFormat="1" ht="46.5" x14ac:dyDescent="0.35">
      <c r="A396" s="398"/>
      <c r="B396" s="399"/>
      <c r="C396" s="435" t="s">
        <v>847</v>
      </c>
      <c r="D396" s="442">
        <v>6</v>
      </c>
      <c r="E396" s="440" t="s">
        <v>824</v>
      </c>
      <c r="F396" s="438"/>
      <c r="G396" s="439">
        <f t="shared" si="27"/>
        <v>0</v>
      </c>
    </row>
    <row r="397" spans="1:7" s="160" customFormat="1" x14ac:dyDescent="0.35">
      <c r="A397" s="398"/>
      <c r="B397" s="399"/>
      <c r="C397" s="400"/>
      <c r="D397" s="409"/>
      <c r="E397" s="401"/>
      <c r="F397" s="411"/>
      <c r="G397" s="402">
        <f t="shared" si="27"/>
        <v>0</v>
      </c>
    </row>
    <row r="398" spans="1:7" s="160" customFormat="1" ht="93" x14ac:dyDescent="0.35">
      <c r="A398" s="398"/>
      <c r="B398" s="399"/>
      <c r="C398" s="400" t="s">
        <v>888</v>
      </c>
      <c r="D398" s="409">
        <v>44</v>
      </c>
      <c r="E398" s="401" t="s">
        <v>26</v>
      </c>
      <c r="F398" s="411"/>
      <c r="G398" s="402">
        <f>D398*F398</f>
        <v>0</v>
      </c>
    </row>
    <row r="399" spans="1:7" s="160" customFormat="1" x14ac:dyDescent="0.35">
      <c r="A399" s="398"/>
      <c r="B399" s="399"/>
      <c r="C399" s="400"/>
      <c r="D399" s="409"/>
      <c r="E399" s="401"/>
      <c r="F399" s="411"/>
      <c r="G399" s="402">
        <f t="shared" si="27"/>
        <v>0</v>
      </c>
    </row>
    <row r="400" spans="1:7" s="160" customFormat="1" ht="46.5" x14ac:dyDescent="0.35">
      <c r="A400" s="398"/>
      <c r="B400" s="399"/>
      <c r="C400" s="400" t="s">
        <v>889</v>
      </c>
      <c r="D400" s="409">
        <v>6</v>
      </c>
      <c r="E400" s="401" t="s">
        <v>761</v>
      </c>
      <c r="F400" s="411"/>
      <c r="G400" s="402">
        <f t="shared" si="27"/>
        <v>0</v>
      </c>
    </row>
    <row r="401" spans="1:7" s="160" customFormat="1" x14ac:dyDescent="0.35">
      <c r="A401" s="398"/>
      <c r="B401" s="399"/>
      <c r="C401" s="400"/>
      <c r="D401" s="409"/>
      <c r="E401" s="401"/>
      <c r="F401" s="411"/>
      <c r="G401" s="402">
        <f t="shared" si="27"/>
        <v>0</v>
      </c>
    </row>
    <row r="402" spans="1:7" s="160" customFormat="1" ht="46.5" x14ac:dyDescent="0.35">
      <c r="A402" s="398"/>
      <c r="B402" s="399"/>
      <c r="C402" s="400" t="s">
        <v>886</v>
      </c>
      <c r="D402" s="409">
        <v>36</v>
      </c>
      <c r="E402" s="401" t="s">
        <v>26</v>
      </c>
      <c r="F402" s="411"/>
      <c r="G402" s="402">
        <f t="shared" si="27"/>
        <v>0</v>
      </c>
    </row>
    <row r="403" spans="1:7" s="160" customFormat="1" x14ac:dyDescent="0.35">
      <c r="A403" s="398"/>
      <c r="B403" s="399"/>
      <c r="C403" s="400"/>
      <c r="D403" s="409"/>
      <c r="E403" s="401"/>
      <c r="F403" s="411"/>
      <c r="G403" s="402">
        <f t="shared" ref="G403:G407" si="28">ROUND(D403*F403,2)</f>
        <v>0</v>
      </c>
    </row>
    <row r="404" spans="1:7" s="160" customFormat="1" ht="46.5" x14ac:dyDescent="0.35">
      <c r="A404" s="398"/>
      <c r="B404" s="399"/>
      <c r="C404" s="400" t="s">
        <v>887</v>
      </c>
      <c r="D404" s="409">
        <v>36</v>
      </c>
      <c r="E404" s="401" t="s">
        <v>26</v>
      </c>
      <c r="F404" s="411"/>
      <c r="G404" s="402">
        <f t="shared" si="28"/>
        <v>0</v>
      </c>
    </row>
    <row r="405" spans="1:7" s="160" customFormat="1" x14ac:dyDescent="0.35">
      <c r="A405" s="398"/>
      <c r="B405" s="399"/>
      <c r="C405" s="400"/>
      <c r="D405" s="409"/>
      <c r="E405" s="401"/>
      <c r="F405" s="411"/>
      <c r="G405" s="402">
        <f t="shared" si="28"/>
        <v>0</v>
      </c>
    </row>
    <row r="406" spans="1:7" s="160" customFormat="1" x14ac:dyDescent="0.35">
      <c r="A406" s="398"/>
      <c r="B406" s="399"/>
      <c r="C406" s="400" t="s">
        <v>830</v>
      </c>
      <c r="D406" s="446">
        <v>1</v>
      </c>
      <c r="E406" s="401" t="s">
        <v>819</v>
      </c>
      <c r="F406" s="411"/>
      <c r="G406" s="402">
        <f t="shared" si="28"/>
        <v>0</v>
      </c>
    </row>
    <row r="407" spans="1:7" s="160" customFormat="1" ht="24" thickBot="1" x14ac:dyDescent="0.4">
      <c r="A407" s="398"/>
      <c r="B407" s="399"/>
      <c r="C407" s="400"/>
      <c r="D407" s="409"/>
      <c r="E407" s="401"/>
      <c r="F407" s="411"/>
      <c r="G407" s="402">
        <f t="shared" si="28"/>
        <v>0</v>
      </c>
    </row>
    <row r="408" spans="1:7" s="160" customFormat="1" ht="24" thickBot="1" x14ac:dyDescent="0.4">
      <c r="A408" s="398"/>
      <c r="B408" s="399"/>
      <c r="C408" s="404" t="s">
        <v>760</v>
      </c>
      <c r="D408" s="409"/>
      <c r="E408" s="401"/>
      <c r="F408" s="411"/>
      <c r="G408" s="405">
        <f>SUM(G382:G407)</f>
        <v>0</v>
      </c>
    </row>
    <row r="409" spans="1:7" ht="18.75" customHeight="1" x14ac:dyDescent="0.35">
      <c r="A409" s="383"/>
      <c r="B409" s="384"/>
      <c r="C409" s="385"/>
      <c r="D409" s="386"/>
      <c r="E409" s="387"/>
      <c r="F409" s="410"/>
      <c r="G409" s="387"/>
    </row>
    <row r="410" spans="1:7" s="160" customFormat="1" x14ac:dyDescent="0.35">
      <c r="A410" s="388"/>
      <c r="B410" s="389"/>
      <c r="C410" s="390"/>
      <c r="D410" s="391"/>
      <c r="E410" s="391"/>
      <c r="F410" s="393" t="s">
        <v>2</v>
      </c>
      <c r="G410" s="393"/>
    </row>
    <row r="411" spans="1:7" s="160" customFormat="1" ht="24" thickBot="1" x14ac:dyDescent="0.4">
      <c r="A411" s="394"/>
      <c r="B411" s="395"/>
      <c r="C411" s="396" t="s">
        <v>753</v>
      </c>
      <c r="D411" s="397" t="s">
        <v>3</v>
      </c>
      <c r="E411" s="397" t="s">
        <v>1</v>
      </c>
      <c r="F411" s="397" t="s">
        <v>4</v>
      </c>
      <c r="G411" s="397" t="s">
        <v>5</v>
      </c>
    </row>
    <row r="412" spans="1:7" s="160" customFormat="1" ht="18" customHeight="1" x14ac:dyDescent="0.35">
      <c r="A412" s="398"/>
      <c r="B412" s="399"/>
      <c r="C412" s="400"/>
      <c r="D412" s="409"/>
      <c r="E412" s="401"/>
      <c r="F412" s="411"/>
      <c r="G412" s="402">
        <f t="shared" ref="G412:G438" si="29">ROUND(D412*F412,2)</f>
        <v>0</v>
      </c>
    </row>
    <row r="413" spans="1:7" s="160" customFormat="1" x14ac:dyDescent="0.35">
      <c r="A413" s="398"/>
      <c r="B413" s="399"/>
      <c r="C413" s="412" t="s">
        <v>835</v>
      </c>
      <c r="D413" s="409"/>
      <c r="E413" s="401"/>
      <c r="F413" s="411"/>
      <c r="G413" s="402">
        <f t="shared" si="29"/>
        <v>0</v>
      </c>
    </row>
    <row r="414" spans="1:7" s="160" customFormat="1" x14ac:dyDescent="0.35">
      <c r="A414" s="398"/>
      <c r="B414" s="399"/>
      <c r="C414" s="400"/>
      <c r="D414" s="409"/>
      <c r="E414" s="401"/>
      <c r="F414" s="411"/>
      <c r="G414" s="402">
        <f t="shared" si="29"/>
        <v>0</v>
      </c>
    </row>
    <row r="415" spans="1:7" s="160" customFormat="1" ht="46.5" x14ac:dyDescent="0.35">
      <c r="A415" s="398"/>
      <c r="B415" s="399"/>
      <c r="C415" s="400" t="s">
        <v>833</v>
      </c>
      <c r="D415" s="409">
        <v>130</v>
      </c>
      <c r="E415" s="401" t="s">
        <v>772</v>
      </c>
      <c r="F415" s="411"/>
      <c r="G415" s="402">
        <f t="shared" ref="G415:G430" si="30">D415*F415</f>
        <v>0</v>
      </c>
    </row>
    <row r="416" spans="1:7" s="160" customFormat="1" x14ac:dyDescent="0.35">
      <c r="A416" s="398"/>
      <c r="B416" s="399"/>
      <c r="C416" s="400"/>
      <c r="D416" s="409"/>
      <c r="E416" s="401"/>
      <c r="F416" s="411"/>
      <c r="G416" s="402">
        <f t="shared" si="30"/>
        <v>0</v>
      </c>
    </row>
    <row r="417" spans="1:7" s="160" customFormat="1" ht="46.5" x14ac:dyDescent="0.35">
      <c r="A417" s="398"/>
      <c r="B417" s="399"/>
      <c r="C417" s="400" t="s">
        <v>894</v>
      </c>
      <c r="D417" s="409">
        <v>130</v>
      </c>
      <c r="E417" s="401" t="s">
        <v>772</v>
      </c>
      <c r="F417" s="411"/>
      <c r="G417" s="402">
        <f t="shared" si="30"/>
        <v>0</v>
      </c>
    </row>
    <row r="418" spans="1:7" s="160" customFormat="1" x14ac:dyDescent="0.35">
      <c r="A418" s="398"/>
      <c r="B418" s="399"/>
      <c r="C418" s="400"/>
      <c r="D418" s="409"/>
      <c r="E418" s="401"/>
      <c r="F418" s="411"/>
      <c r="G418" s="402">
        <f t="shared" si="30"/>
        <v>0</v>
      </c>
    </row>
    <row r="419" spans="1:7" s="160" customFormat="1" ht="69.75" x14ac:dyDescent="0.35">
      <c r="A419" s="398"/>
      <c r="B419" s="399"/>
      <c r="C419" s="435" t="s">
        <v>895</v>
      </c>
      <c r="D419" s="442">
        <v>94</v>
      </c>
      <c r="E419" s="440" t="s">
        <v>26</v>
      </c>
      <c r="F419" s="438"/>
      <c r="G419" s="439">
        <f t="shared" si="30"/>
        <v>0</v>
      </c>
    </row>
    <row r="420" spans="1:7" s="160" customFormat="1" x14ac:dyDescent="0.35">
      <c r="A420" s="398"/>
      <c r="B420" s="399"/>
      <c r="C420" s="400"/>
      <c r="D420" s="409"/>
      <c r="E420" s="401"/>
      <c r="F420" s="411"/>
      <c r="G420" s="402">
        <f t="shared" si="30"/>
        <v>0</v>
      </c>
    </row>
    <row r="421" spans="1:7" s="160" customFormat="1" ht="46.5" x14ac:dyDescent="0.35">
      <c r="A421" s="398"/>
      <c r="B421" s="399"/>
      <c r="C421" s="400" t="s">
        <v>896</v>
      </c>
      <c r="D421" s="409">
        <v>76</v>
      </c>
      <c r="E421" s="401" t="s">
        <v>772</v>
      </c>
      <c r="F421" s="411"/>
      <c r="G421" s="402">
        <f t="shared" si="30"/>
        <v>0</v>
      </c>
    </row>
    <row r="422" spans="1:7" s="160" customFormat="1" x14ac:dyDescent="0.35">
      <c r="A422" s="398"/>
      <c r="B422" s="399"/>
      <c r="C422" s="400"/>
      <c r="D422" s="409"/>
      <c r="E422" s="401"/>
      <c r="F422" s="411"/>
      <c r="G422" s="402">
        <f t="shared" si="30"/>
        <v>0</v>
      </c>
    </row>
    <row r="423" spans="1:7" s="160" customFormat="1" ht="119.25" x14ac:dyDescent="0.35">
      <c r="A423" s="398"/>
      <c r="B423" s="399"/>
      <c r="C423" s="400" t="s">
        <v>942</v>
      </c>
      <c r="D423" s="446">
        <v>70</v>
      </c>
      <c r="E423" s="401" t="s">
        <v>772</v>
      </c>
      <c r="F423" s="411"/>
      <c r="G423" s="402">
        <f t="shared" si="30"/>
        <v>0</v>
      </c>
    </row>
    <row r="424" spans="1:7" s="160" customFormat="1" x14ac:dyDescent="0.35">
      <c r="A424" s="398"/>
      <c r="B424" s="399"/>
      <c r="C424" s="400"/>
      <c r="D424" s="409"/>
      <c r="E424" s="401"/>
      <c r="F424" s="411"/>
      <c r="G424" s="402">
        <f t="shared" si="30"/>
        <v>0</v>
      </c>
    </row>
    <row r="425" spans="1:7" s="160" customFormat="1" ht="119.25" x14ac:dyDescent="0.35">
      <c r="A425" s="398"/>
      <c r="B425" s="399"/>
      <c r="C425" s="400" t="s">
        <v>943</v>
      </c>
      <c r="D425" s="409">
        <v>76</v>
      </c>
      <c r="E425" s="401" t="s">
        <v>772</v>
      </c>
      <c r="F425" s="411"/>
      <c r="G425" s="402">
        <f t="shared" si="30"/>
        <v>0</v>
      </c>
    </row>
    <row r="426" spans="1:7" s="160" customFormat="1" x14ac:dyDescent="0.35">
      <c r="A426" s="398"/>
      <c r="B426" s="399"/>
      <c r="C426" s="400"/>
      <c r="D426" s="409"/>
      <c r="E426" s="401"/>
      <c r="F426" s="411"/>
      <c r="G426" s="402">
        <f t="shared" si="30"/>
        <v>0</v>
      </c>
    </row>
    <row r="427" spans="1:7" s="160" customFormat="1" ht="119.25" x14ac:dyDescent="0.35">
      <c r="A427" s="398"/>
      <c r="B427" s="399"/>
      <c r="C427" s="400" t="s">
        <v>837</v>
      </c>
      <c r="D427" s="446">
        <v>66</v>
      </c>
      <c r="E427" s="401" t="s">
        <v>26</v>
      </c>
      <c r="F427" s="411"/>
      <c r="G427" s="402">
        <f t="shared" si="30"/>
        <v>0</v>
      </c>
    </row>
    <row r="428" spans="1:7" s="160" customFormat="1" x14ac:dyDescent="0.35">
      <c r="A428" s="398"/>
      <c r="B428" s="399"/>
      <c r="C428" s="400"/>
      <c r="D428" s="409"/>
      <c r="E428" s="401"/>
      <c r="F428" s="411"/>
      <c r="G428" s="402">
        <f t="shared" si="30"/>
        <v>0</v>
      </c>
    </row>
    <row r="429" spans="1:7" s="160" customFormat="1" ht="142.5" x14ac:dyDescent="0.35">
      <c r="A429" s="398"/>
      <c r="B429" s="399"/>
      <c r="C429" s="400" t="s">
        <v>944</v>
      </c>
      <c r="D429" s="409">
        <v>274</v>
      </c>
      <c r="E429" s="401" t="s">
        <v>772</v>
      </c>
      <c r="F429" s="411"/>
      <c r="G429" s="402">
        <f>D429*F429</f>
        <v>0</v>
      </c>
    </row>
    <row r="430" spans="1:7" s="160" customFormat="1" x14ac:dyDescent="0.35">
      <c r="A430" s="398"/>
      <c r="B430" s="399"/>
      <c r="C430" s="400"/>
      <c r="D430" s="409"/>
      <c r="E430" s="401"/>
      <c r="F430" s="411"/>
      <c r="G430" s="402">
        <f t="shared" si="30"/>
        <v>0</v>
      </c>
    </row>
    <row r="431" spans="1:7" s="160" customFormat="1" x14ac:dyDescent="0.35">
      <c r="A431" s="398"/>
      <c r="B431" s="399"/>
      <c r="C431" s="400"/>
      <c r="D431" s="409"/>
      <c r="E431" s="401"/>
      <c r="F431" s="411"/>
      <c r="G431" s="402">
        <f t="shared" si="29"/>
        <v>0</v>
      </c>
    </row>
    <row r="432" spans="1:7" s="160" customFormat="1" x14ac:dyDescent="0.35">
      <c r="A432" s="398"/>
      <c r="B432" s="399"/>
      <c r="C432" s="400"/>
      <c r="D432" s="409"/>
      <c r="E432" s="401"/>
      <c r="F432" s="411"/>
      <c r="G432" s="402"/>
    </row>
    <row r="433" spans="1:7" s="160" customFormat="1" x14ac:dyDescent="0.35">
      <c r="A433" s="398"/>
      <c r="B433" s="399"/>
      <c r="C433" s="400"/>
      <c r="D433" s="409"/>
      <c r="E433" s="401"/>
      <c r="F433" s="411"/>
      <c r="G433" s="402"/>
    </row>
    <row r="434" spans="1:7" s="160" customFormat="1" ht="24" thickBot="1" x14ac:dyDescent="0.4">
      <c r="A434" s="398"/>
      <c r="B434" s="399"/>
      <c r="C434" s="400"/>
      <c r="D434" s="409"/>
      <c r="E434" s="401"/>
      <c r="F434" s="411"/>
      <c r="G434" s="402"/>
    </row>
    <row r="435" spans="1:7" s="160" customFormat="1" ht="24" thickBot="1" x14ac:dyDescent="0.4">
      <c r="A435" s="398"/>
      <c r="B435" s="399"/>
      <c r="C435" s="404" t="s">
        <v>760</v>
      </c>
      <c r="D435" s="409"/>
      <c r="E435" s="401"/>
      <c r="F435" s="411"/>
      <c r="G435" s="405">
        <f>SUM(G414:G434)</f>
        <v>0</v>
      </c>
    </row>
    <row r="436" spans="1:7" s="160" customFormat="1" x14ac:dyDescent="0.35">
      <c r="A436" s="398"/>
      <c r="B436" s="399"/>
      <c r="C436" s="400"/>
      <c r="D436" s="409"/>
      <c r="E436" s="401"/>
      <c r="F436" s="411"/>
      <c r="G436" s="402"/>
    </row>
    <row r="437" spans="1:7" s="160" customFormat="1" x14ac:dyDescent="0.35">
      <c r="A437" s="398"/>
      <c r="B437" s="399"/>
      <c r="C437" s="400"/>
      <c r="D437" s="409"/>
      <c r="E437" s="401"/>
      <c r="F437" s="411"/>
      <c r="G437" s="402">
        <f t="shared" si="29"/>
        <v>0</v>
      </c>
    </row>
    <row r="438" spans="1:7" s="160" customFormat="1" ht="24" thickBot="1" x14ac:dyDescent="0.4">
      <c r="A438" s="398"/>
      <c r="B438" s="399"/>
      <c r="C438" s="400"/>
      <c r="D438" s="409"/>
      <c r="E438" s="401"/>
      <c r="F438" s="411"/>
      <c r="G438" s="402">
        <f t="shared" si="29"/>
        <v>0</v>
      </c>
    </row>
    <row r="439" spans="1:7" ht="18.75" customHeight="1" x14ac:dyDescent="0.35">
      <c r="A439" s="383"/>
      <c r="B439" s="384"/>
      <c r="C439" s="385"/>
      <c r="D439" s="386"/>
      <c r="E439" s="387"/>
      <c r="F439" s="410"/>
      <c r="G439" s="387"/>
    </row>
    <row r="440" spans="1:7" s="160" customFormat="1" x14ac:dyDescent="0.35">
      <c r="A440" s="388"/>
      <c r="B440" s="389"/>
      <c r="C440" s="390"/>
      <c r="D440" s="391"/>
      <c r="E440" s="391"/>
      <c r="F440" s="393" t="s">
        <v>2</v>
      </c>
      <c r="G440" s="393"/>
    </row>
    <row r="441" spans="1:7" s="160" customFormat="1" ht="24" thickBot="1" x14ac:dyDescent="0.4">
      <c r="A441" s="394"/>
      <c r="B441" s="395"/>
      <c r="C441" s="396" t="s">
        <v>753</v>
      </c>
      <c r="D441" s="397" t="s">
        <v>3</v>
      </c>
      <c r="E441" s="397" t="s">
        <v>1</v>
      </c>
      <c r="F441" s="397" t="s">
        <v>4</v>
      </c>
      <c r="G441" s="397" t="s">
        <v>5</v>
      </c>
    </row>
    <row r="442" spans="1:7" s="160" customFormat="1" ht="18" customHeight="1" x14ac:dyDescent="0.35">
      <c r="A442" s="398"/>
      <c r="B442" s="399"/>
      <c r="C442" s="400"/>
      <c r="D442" s="409"/>
      <c r="E442" s="401"/>
      <c r="F442" s="411"/>
      <c r="G442" s="402">
        <f t="shared" ref="G442:G443" si="31">ROUND(D442*F442,2)</f>
        <v>0</v>
      </c>
    </row>
    <row r="443" spans="1:7" s="160" customFormat="1" x14ac:dyDescent="0.35">
      <c r="A443" s="398"/>
      <c r="B443" s="399"/>
      <c r="C443" s="412" t="s">
        <v>836</v>
      </c>
      <c r="D443" s="409"/>
      <c r="E443" s="401"/>
      <c r="F443" s="411"/>
      <c r="G443" s="402">
        <f t="shared" si="31"/>
        <v>0</v>
      </c>
    </row>
    <row r="444" spans="1:7" s="160" customFormat="1" x14ac:dyDescent="0.35">
      <c r="A444" s="398"/>
      <c r="B444" s="399"/>
      <c r="C444" s="400"/>
      <c r="D444" s="409"/>
      <c r="E444" s="401"/>
      <c r="F444" s="411"/>
      <c r="G444" s="402">
        <f t="shared" ref="G444:G460" si="32">D444*F444</f>
        <v>0</v>
      </c>
    </row>
    <row r="445" spans="1:7" s="160" customFormat="1" ht="119.25" x14ac:dyDescent="0.35">
      <c r="A445" s="398"/>
      <c r="B445" s="399"/>
      <c r="C445" s="400" t="s">
        <v>945</v>
      </c>
      <c r="D445" s="409">
        <v>28</v>
      </c>
      <c r="E445" s="401" t="s">
        <v>26</v>
      </c>
      <c r="F445" s="411"/>
      <c r="G445" s="402">
        <f t="shared" si="32"/>
        <v>0</v>
      </c>
    </row>
    <row r="446" spans="1:7" s="160" customFormat="1" x14ac:dyDescent="0.35">
      <c r="A446" s="398"/>
      <c r="B446" s="399"/>
      <c r="C446" s="400"/>
      <c r="D446" s="409"/>
      <c r="E446" s="401"/>
      <c r="F446" s="411"/>
      <c r="G446" s="402">
        <f t="shared" si="32"/>
        <v>0</v>
      </c>
    </row>
    <row r="447" spans="1:7" s="160" customFormat="1" ht="119.25" x14ac:dyDescent="0.35">
      <c r="A447" s="398"/>
      <c r="B447" s="399"/>
      <c r="C447" s="400" t="s">
        <v>946</v>
      </c>
      <c r="D447" s="409">
        <v>36</v>
      </c>
      <c r="E447" s="401" t="s">
        <v>26</v>
      </c>
      <c r="F447" s="411"/>
      <c r="G447" s="402">
        <f t="shared" si="32"/>
        <v>0</v>
      </c>
    </row>
    <row r="448" spans="1:7" s="160" customFormat="1" x14ac:dyDescent="0.35">
      <c r="A448" s="398"/>
      <c r="B448" s="399"/>
      <c r="C448" s="400"/>
      <c r="D448" s="409"/>
      <c r="E448" s="401"/>
      <c r="F448" s="411"/>
      <c r="G448" s="402">
        <f t="shared" si="32"/>
        <v>0</v>
      </c>
    </row>
    <row r="449" spans="1:7" s="160" customFormat="1" ht="119.25" x14ac:dyDescent="0.35">
      <c r="A449" s="398"/>
      <c r="B449" s="399"/>
      <c r="C449" s="400" t="s">
        <v>947</v>
      </c>
      <c r="D449" s="409">
        <v>12</v>
      </c>
      <c r="E449" s="401" t="s">
        <v>26</v>
      </c>
      <c r="F449" s="411"/>
      <c r="G449" s="402">
        <f t="shared" si="32"/>
        <v>0</v>
      </c>
    </row>
    <row r="450" spans="1:7" s="160" customFormat="1" x14ac:dyDescent="0.35">
      <c r="A450" s="398"/>
      <c r="B450" s="399"/>
      <c r="C450" s="400"/>
      <c r="D450" s="409"/>
      <c r="E450" s="401"/>
      <c r="F450" s="411"/>
      <c r="G450" s="402">
        <f t="shared" si="32"/>
        <v>0</v>
      </c>
    </row>
    <row r="451" spans="1:7" s="160" customFormat="1" ht="119.25" x14ac:dyDescent="0.35">
      <c r="A451" s="398"/>
      <c r="B451" s="399"/>
      <c r="C451" s="400" t="s">
        <v>948</v>
      </c>
      <c r="D451" s="409">
        <v>60</v>
      </c>
      <c r="E451" s="401" t="s">
        <v>26</v>
      </c>
      <c r="F451" s="411"/>
      <c r="G451" s="402">
        <f t="shared" si="32"/>
        <v>0</v>
      </c>
    </row>
    <row r="452" spans="1:7" s="160" customFormat="1" x14ac:dyDescent="0.35">
      <c r="A452" s="398"/>
      <c r="B452" s="399"/>
      <c r="C452" s="400"/>
      <c r="D452" s="409"/>
      <c r="E452" s="401"/>
      <c r="F452" s="411"/>
      <c r="G452" s="402">
        <f t="shared" si="32"/>
        <v>0</v>
      </c>
    </row>
    <row r="453" spans="1:7" s="160" customFormat="1" ht="119.25" x14ac:dyDescent="0.35">
      <c r="A453" s="398"/>
      <c r="B453" s="399"/>
      <c r="C453" s="400" t="s">
        <v>897</v>
      </c>
      <c r="D453" s="409">
        <v>36</v>
      </c>
      <c r="E453" s="401" t="s">
        <v>26</v>
      </c>
      <c r="F453" s="411"/>
      <c r="G453" s="402">
        <f t="shared" si="32"/>
        <v>0</v>
      </c>
    </row>
    <row r="454" spans="1:7" s="160" customFormat="1" x14ac:dyDescent="0.35">
      <c r="A454" s="398"/>
      <c r="B454" s="399"/>
      <c r="C454" s="400"/>
      <c r="D454" s="409"/>
      <c r="E454" s="401"/>
      <c r="F454" s="411"/>
      <c r="G454" s="402">
        <f t="shared" si="32"/>
        <v>0</v>
      </c>
    </row>
    <row r="455" spans="1:7" s="160" customFormat="1" ht="96" x14ac:dyDescent="0.35">
      <c r="A455" s="398"/>
      <c r="B455" s="399"/>
      <c r="C455" s="400" t="s">
        <v>838</v>
      </c>
      <c r="D455" s="409">
        <v>56</v>
      </c>
      <c r="E455" s="401" t="s">
        <v>26</v>
      </c>
      <c r="F455" s="411"/>
      <c r="G455" s="402">
        <f t="shared" si="32"/>
        <v>0</v>
      </c>
    </row>
    <row r="456" spans="1:7" s="160" customFormat="1" x14ac:dyDescent="0.35">
      <c r="A456" s="398"/>
      <c r="B456" s="399"/>
      <c r="C456" s="400"/>
      <c r="D456" s="409"/>
      <c r="E456" s="401"/>
      <c r="F456" s="411"/>
      <c r="G456" s="402">
        <f t="shared" si="32"/>
        <v>0</v>
      </c>
    </row>
    <row r="457" spans="1:7" s="160" customFormat="1" ht="142.5" x14ac:dyDescent="0.35">
      <c r="A457" s="398"/>
      <c r="B457" s="399"/>
      <c r="C457" s="400" t="s">
        <v>898</v>
      </c>
      <c r="D457" s="409">
        <v>72</v>
      </c>
      <c r="E457" s="401" t="s">
        <v>26</v>
      </c>
      <c r="F457" s="411"/>
      <c r="G457" s="402">
        <f t="shared" si="32"/>
        <v>0</v>
      </c>
    </row>
    <row r="458" spans="1:7" s="160" customFormat="1" x14ac:dyDescent="0.35">
      <c r="A458" s="398"/>
      <c r="B458" s="399"/>
      <c r="C458" s="400"/>
      <c r="D458" s="409"/>
      <c r="E458" s="401"/>
      <c r="F458" s="411"/>
      <c r="G458" s="402"/>
    </row>
    <row r="459" spans="1:7" s="160" customFormat="1" x14ac:dyDescent="0.35">
      <c r="A459" s="398"/>
      <c r="B459" s="399"/>
      <c r="C459" s="400"/>
      <c r="D459" s="409"/>
      <c r="E459" s="401"/>
      <c r="F459" s="411"/>
      <c r="G459" s="402"/>
    </row>
    <row r="460" spans="1:7" s="160" customFormat="1" ht="24" thickBot="1" x14ac:dyDescent="0.4">
      <c r="A460" s="398"/>
      <c r="B460" s="399"/>
      <c r="C460" s="400"/>
      <c r="D460" s="409"/>
      <c r="E460" s="401"/>
      <c r="F460" s="411"/>
      <c r="G460" s="402">
        <f t="shared" si="32"/>
        <v>0</v>
      </c>
    </row>
    <row r="461" spans="1:7" s="160" customFormat="1" ht="24" thickBot="1" x14ac:dyDescent="0.4">
      <c r="A461" s="398"/>
      <c r="B461" s="399"/>
      <c r="C461" s="404" t="s">
        <v>760</v>
      </c>
      <c r="D461" s="409"/>
      <c r="E461" s="401"/>
      <c r="F461" s="411"/>
      <c r="G461" s="405">
        <f>SUM(G443:G460)</f>
        <v>0</v>
      </c>
    </row>
    <row r="462" spans="1:7" ht="18.75" customHeight="1" x14ac:dyDescent="0.35">
      <c r="A462" s="383"/>
      <c r="B462" s="384"/>
      <c r="C462" s="385"/>
      <c r="D462" s="386"/>
      <c r="E462" s="387"/>
      <c r="F462" s="410"/>
      <c r="G462" s="387"/>
    </row>
    <row r="463" spans="1:7" s="160" customFormat="1" x14ac:dyDescent="0.35">
      <c r="A463" s="388"/>
      <c r="B463" s="389"/>
      <c r="C463" s="390"/>
      <c r="D463" s="391"/>
      <c r="E463" s="391"/>
      <c r="F463" s="393" t="s">
        <v>2</v>
      </c>
      <c r="G463" s="393"/>
    </row>
    <row r="464" spans="1:7" s="160" customFormat="1" ht="24" thickBot="1" x14ac:dyDescent="0.4">
      <c r="A464" s="394"/>
      <c r="B464" s="395"/>
      <c r="C464" s="396" t="s">
        <v>753</v>
      </c>
      <c r="D464" s="397" t="s">
        <v>3</v>
      </c>
      <c r="E464" s="397" t="s">
        <v>1</v>
      </c>
      <c r="F464" s="397" t="s">
        <v>4</v>
      </c>
      <c r="G464" s="397" t="s">
        <v>5</v>
      </c>
    </row>
    <row r="465" spans="1:7" s="160" customFormat="1" ht="18" customHeight="1" x14ac:dyDescent="0.35">
      <c r="A465" s="398"/>
      <c r="B465" s="399"/>
      <c r="C465" s="400"/>
      <c r="D465" s="409"/>
      <c r="E465" s="401"/>
      <c r="F465" s="411"/>
      <c r="G465" s="402">
        <f t="shared" ref="G465:G466" si="33">ROUND(D465*F465,2)</f>
        <v>0</v>
      </c>
    </row>
    <row r="466" spans="1:7" s="160" customFormat="1" x14ac:dyDescent="0.35">
      <c r="A466" s="398"/>
      <c r="B466" s="399"/>
      <c r="C466" s="412" t="s">
        <v>798</v>
      </c>
      <c r="D466" s="409"/>
      <c r="E466" s="401"/>
      <c r="F466" s="411"/>
      <c r="G466" s="402">
        <f t="shared" si="33"/>
        <v>0</v>
      </c>
    </row>
    <row r="467" spans="1:7" s="160" customFormat="1" x14ac:dyDescent="0.35">
      <c r="A467" s="398"/>
      <c r="B467" s="399"/>
      <c r="C467" s="400"/>
      <c r="D467" s="409"/>
      <c r="E467" s="401"/>
      <c r="F467" s="411"/>
      <c r="G467" s="402">
        <f t="shared" ref="G467:G475" si="34">D467*F467</f>
        <v>0</v>
      </c>
    </row>
    <row r="468" spans="1:7" s="160" customFormat="1" ht="139.5" x14ac:dyDescent="0.35">
      <c r="A468" s="398"/>
      <c r="B468" s="399"/>
      <c r="C468" s="400" t="s">
        <v>844</v>
      </c>
      <c r="D468" s="409">
        <v>72</v>
      </c>
      <c r="E468" s="401" t="s">
        <v>26</v>
      </c>
      <c r="F468" s="411"/>
      <c r="G468" s="402">
        <f t="shared" si="34"/>
        <v>0</v>
      </c>
    </row>
    <row r="469" spans="1:7" s="160" customFormat="1" x14ac:dyDescent="0.35">
      <c r="A469" s="398"/>
      <c r="B469" s="399"/>
      <c r="C469" s="400"/>
      <c r="D469" s="409"/>
      <c r="E469" s="401"/>
      <c r="F469" s="411"/>
      <c r="G469" s="402">
        <f t="shared" si="34"/>
        <v>0</v>
      </c>
    </row>
    <row r="470" spans="1:7" s="160" customFormat="1" ht="116.25" x14ac:dyDescent="0.35">
      <c r="A470" s="398"/>
      <c r="B470" s="399"/>
      <c r="C470" s="435" t="s">
        <v>845</v>
      </c>
      <c r="D470" s="442">
        <v>6</v>
      </c>
      <c r="E470" s="440" t="s">
        <v>761</v>
      </c>
      <c r="F470" s="438"/>
      <c r="G470" s="439">
        <f t="shared" si="34"/>
        <v>0</v>
      </c>
    </row>
    <row r="471" spans="1:7" s="160" customFormat="1" x14ac:dyDescent="0.35">
      <c r="A471" s="398"/>
      <c r="B471" s="399"/>
      <c r="C471" s="400"/>
      <c r="D471" s="409"/>
      <c r="E471" s="401"/>
      <c r="F471" s="411"/>
      <c r="G471" s="402">
        <f t="shared" si="34"/>
        <v>0</v>
      </c>
    </row>
    <row r="472" spans="1:7" s="160" customFormat="1" x14ac:dyDescent="0.35">
      <c r="A472" s="398"/>
      <c r="B472" s="399"/>
      <c r="C472" s="400"/>
      <c r="D472" s="409"/>
      <c r="E472" s="401"/>
      <c r="F472" s="411"/>
      <c r="G472" s="402">
        <f t="shared" si="34"/>
        <v>0</v>
      </c>
    </row>
    <row r="473" spans="1:7" s="160" customFormat="1" x14ac:dyDescent="0.35">
      <c r="A473" s="398"/>
      <c r="B473" s="399"/>
      <c r="C473" s="400"/>
      <c r="D473" s="409"/>
      <c r="E473" s="401"/>
      <c r="F473" s="411"/>
      <c r="G473" s="402">
        <f t="shared" si="34"/>
        <v>0</v>
      </c>
    </row>
    <row r="474" spans="1:7" s="160" customFormat="1" x14ac:dyDescent="0.35">
      <c r="A474" s="398"/>
      <c r="B474" s="399"/>
      <c r="C474" s="400"/>
      <c r="D474" s="409"/>
      <c r="E474" s="401"/>
      <c r="F474" s="411"/>
      <c r="G474" s="402">
        <f t="shared" si="34"/>
        <v>0</v>
      </c>
    </row>
    <row r="475" spans="1:7" s="160" customFormat="1" x14ac:dyDescent="0.35">
      <c r="A475" s="398"/>
      <c r="B475" s="399"/>
      <c r="C475" s="400"/>
      <c r="D475" s="409"/>
      <c r="E475" s="401"/>
      <c r="F475" s="411"/>
      <c r="G475" s="402">
        <f t="shared" si="34"/>
        <v>0</v>
      </c>
    </row>
    <row r="476" spans="1:7" s="160" customFormat="1" x14ac:dyDescent="0.35">
      <c r="A476" s="398"/>
      <c r="B476" s="399"/>
      <c r="C476" s="400"/>
      <c r="D476" s="409"/>
      <c r="E476" s="401"/>
      <c r="F476" s="411"/>
      <c r="G476" s="402">
        <f t="shared" ref="G476:G501" si="35">ROUND(D476*F476,2)</f>
        <v>0</v>
      </c>
    </row>
    <row r="477" spans="1:7" s="160" customFormat="1" x14ac:dyDescent="0.35">
      <c r="A477" s="398"/>
      <c r="B477" s="399"/>
      <c r="C477" s="400"/>
      <c r="D477" s="409"/>
      <c r="E477" s="401"/>
      <c r="F477" s="411"/>
      <c r="G477" s="402">
        <f t="shared" si="35"/>
        <v>0</v>
      </c>
    </row>
    <row r="478" spans="1:7" s="160" customFormat="1" x14ac:dyDescent="0.35">
      <c r="A478" s="398"/>
      <c r="B478" s="399"/>
      <c r="C478" s="400"/>
      <c r="D478" s="409"/>
      <c r="E478" s="401"/>
      <c r="F478" s="411"/>
      <c r="G478" s="402">
        <f t="shared" si="35"/>
        <v>0</v>
      </c>
    </row>
    <row r="479" spans="1:7" s="160" customFormat="1" x14ac:dyDescent="0.35">
      <c r="A479" s="398"/>
      <c r="B479" s="399"/>
      <c r="C479" s="400"/>
      <c r="D479" s="409"/>
      <c r="E479" s="401"/>
      <c r="F479" s="411"/>
      <c r="G479" s="402">
        <f t="shared" si="35"/>
        <v>0</v>
      </c>
    </row>
    <row r="480" spans="1:7" s="160" customFormat="1" x14ac:dyDescent="0.35">
      <c r="A480" s="398"/>
      <c r="B480" s="399"/>
      <c r="C480" s="400"/>
      <c r="D480" s="409"/>
      <c r="E480" s="401"/>
      <c r="F480" s="411"/>
      <c r="G480" s="402">
        <f t="shared" si="35"/>
        <v>0</v>
      </c>
    </row>
    <row r="481" spans="1:7" s="160" customFormat="1" x14ac:dyDescent="0.35">
      <c r="A481" s="398"/>
      <c r="B481" s="399"/>
      <c r="C481" s="400"/>
      <c r="D481" s="409"/>
      <c r="E481" s="401"/>
      <c r="F481" s="411"/>
      <c r="G481" s="402">
        <f t="shared" si="35"/>
        <v>0</v>
      </c>
    </row>
    <row r="482" spans="1:7" s="160" customFormat="1" x14ac:dyDescent="0.35">
      <c r="A482" s="398"/>
      <c r="B482" s="399"/>
      <c r="C482" s="400"/>
      <c r="D482" s="409"/>
      <c r="E482" s="401"/>
      <c r="F482" s="411"/>
      <c r="G482" s="402">
        <f t="shared" si="35"/>
        <v>0</v>
      </c>
    </row>
    <row r="483" spans="1:7" s="160" customFormat="1" x14ac:dyDescent="0.35">
      <c r="A483" s="398"/>
      <c r="B483" s="399"/>
      <c r="C483" s="400"/>
      <c r="D483" s="409"/>
      <c r="E483" s="401"/>
      <c r="F483" s="411"/>
      <c r="G483" s="402">
        <f t="shared" si="35"/>
        <v>0</v>
      </c>
    </row>
    <row r="484" spans="1:7" s="160" customFormat="1" x14ac:dyDescent="0.35">
      <c r="A484" s="398"/>
      <c r="B484" s="399"/>
      <c r="C484" s="400"/>
      <c r="D484" s="409"/>
      <c r="E484" s="401"/>
      <c r="F484" s="411"/>
      <c r="G484" s="402">
        <f t="shared" si="35"/>
        <v>0</v>
      </c>
    </row>
    <row r="485" spans="1:7" s="160" customFormat="1" x14ac:dyDescent="0.35">
      <c r="A485" s="398"/>
      <c r="B485" s="399"/>
      <c r="C485" s="400"/>
      <c r="D485" s="409"/>
      <c r="E485" s="401"/>
      <c r="F485" s="411"/>
      <c r="G485" s="402">
        <f t="shared" si="35"/>
        <v>0</v>
      </c>
    </row>
    <row r="486" spans="1:7" s="160" customFormat="1" x14ac:dyDescent="0.35">
      <c r="A486" s="398"/>
      <c r="B486" s="399"/>
      <c r="C486" s="400"/>
      <c r="D486" s="409"/>
      <c r="E486" s="401"/>
      <c r="F486" s="411"/>
      <c r="G486" s="402">
        <f t="shared" si="35"/>
        <v>0</v>
      </c>
    </row>
    <row r="487" spans="1:7" s="160" customFormat="1" x14ac:dyDescent="0.35">
      <c r="A487" s="398"/>
      <c r="B487" s="399"/>
      <c r="C487" s="400"/>
      <c r="D487" s="409"/>
      <c r="E487" s="401"/>
      <c r="F487" s="411"/>
      <c r="G487" s="402">
        <f t="shared" si="35"/>
        <v>0</v>
      </c>
    </row>
    <row r="488" spans="1:7" s="160" customFormat="1" x14ac:dyDescent="0.35">
      <c r="A488" s="398"/>
      <c r="B488" s="399"/>
      <c r="C488" s="400"/>
      <c r="D488" s="409"/>
      <c r="E488" s="401"/>
      <c r="F488" s="411"/>
      <c r="G488" s="402">
        <f t="shared" si="35"/>
        <v>0</v>
      </c>
    </row>
    <row r="489" spans="1:7" s="160" customFormat="1" x14ac:dyDescent="0.35">
      <c r="A489" s="398"/>
      <c r="B489" s="399"/>
      <c r="C489" s="400"/>
      <c r="D489" s="409"/>
      <c r="E489" s="401"/>
      <c r="F489" s="411"/>
      <c r="G489" s="402">
        <f t="shared" si="35"/>
        <v>0</v>
      </c>
    </row>
    <row r="490" spans="1:7" s="160" customFormat="1" x14ac:dyDescent="0.35">
      <c r="A490" s="398"/>
      <c r="B490" s="399"/>
      <c r="C490" s="400"/>
      <c r="D490" s="409"/>
      <c r="E490" s="401"/>
      <c r="F490" s="411"/>
      <c r="G490" s="402">
        <f t="shared" si="35"/>
        <v>0</v>
      </c>
    </row>
    <row r="491" spans="1:7" s="160" customFormat="1" x14ac:dyDescent="0.35">
      <c r="A491" s="398"/>
      <c r="B491" s="399"/>
      <c r="C491" s="400"/>
      <c r="D491" s="409"/>
      <c r="E491" s="401"/>
      <c r="F491" s="411"/>
      <c r="G491" s="402">
        <f t="shared" si="35"/>
        <v>0</v>
      </c>
    </row>
    <row r="492" spans="1:7" s="160" customFormat="1" x14ac:dyDescent="0.35">
      <c r="A492" s="398"/>
      <c r="B492" s="399"/>
      <c r="C492" s="400"/>
      <c r="D492" s="409"/>
      <c r="E492" s="401"/>
      <c r="F492" s="411"/>
      <c r="G492" s="402">
        <f t="shared" si="35"/>
        <v>0</v>
      </c>
    </row>
    <row r="493" spans="1:7" s="160" customFormat="1" ht="24" thickBot="1" x14ac:dyDescent="0.4">
      <c r="A493" s="398"/>
      <c r="B493" s="399"/>
      <c r="C493" s="400"/>
      <c r="D493" s="409"/>
      <c r="E493" s="401"/>
      <c r="F493" s="411"/>
      <c r="G493" s="402">
        <f t="shared" si="35"/>
        <v>0</v>
      </c>
    </row>
    <row r="494" spans="1:7" s="160" customFormat="1" ht="24" thickBot="1" x14ac:dyDescent="0.4">
      <c r="A494" s="398"/>
      <c r="B494" s="399"/>
      <c r="C494" s="404" t="s">
        <v>760</v>
      </c>
      <c r="D494" s="409"/>
      <c r="E494" s="401"/>
      <c r="F494" s="411"/>
      <c r="G494" s="405">
        <f>SUM(G467:G493)</f>
        <v>0</v>
      </c>
    </row>
    <row r="495" spans="1:7" s="160" customFormat="1" x14ac:dyDescent="0.35">
      <c r="A495" s="398"/>
      <c r="B495" s="399"/>
      <c r="C495" s="400"/>
      <c r="D495" s="409"/>
      <c r="E495" s="401"/>
      <c r="F495" s="411"/>
      <c r="G495" s="402">
        <f t="shared" si="35"/>
        <v>0</v>
      </c>
    </row>
    <row r="496" spans="1:7" s="160" customFormat="1" x14ac:dyDescent="0.35">
      <c r="A496" s="398"/>
      <c r="B496" s="399"/>
      <c r="C496" s="400"/>
      <c r="D496" s="409"/>
      <c r="E496" s="401"/>
      <c r="F496" s="411"/>
      <c r="G496" s="402">
        <f t="shared" si="35"/>
        <v>0</v>
      </c>
    </row>
    <row r="497" spans="1:7" s="160" customFormat="1" x14ac:dyDescent="0.35">
      <c r="A497" s="398"/>
      <c r="B497" s="399"/>
      <c r="C497" s="400"/>
      <c r="D497" s="409"/>
      <c r="E497" s="401"/>
      <c r="F497" s="411"/>
      <c r="G497" s="402">
        <f t="shared" si="35"/>
        <v>0</v>
      </c>
    </row>
    <row r="498" spans="1:7" s="160" customFormat="1" x14ac:dyDescent="0.35">
      <c r="A498" s="398"/>
      <c r="B498" s="399"/>
      <c r="C498" s="400"/>
      <c r="D498" s="409"/>
      <c r="E498" s="401"/>
      <c r="F498" s="411"/>
      <c r="G498" s="402">
        <f t="shared" si="35"/>
        <v>0</v>
      </c>
    </row>
    <row r="499" spans="1:7" s="160" customFormat="1" x14ac:dyDescent="0.35">
      <c r="A499" s="398"/>
      <c r="B499" s="399"/>
      <c r="C499" s="400"/>
      <c r="D499" s="409"/>
      <c r="E499" s="401"/>
      <c r="F499" s="411"/>
      <c r="G499" s="402">
        <f t="shared" si="35"/>
        <v>0</v>
      </c>
    </row>
    <row r="500" spans="1:7" s="160" customFormat="1" x14ac:dyDescent="0.35">
      <c r="A500" s="398"/>
      <c r="B500" s="399"/>
      <c r="C500" s="400"/>
      <c r="D500" s="409"/>
      <c r="E500" s="401"/>
      <c r="F500" s="411"/>
      <c r="G500" s="402">
        <f t="shared" si="35"/>
        <v>0</v>
      </c>
    </row>
    <row r="501" spans="1:7" s="160" customFormat="1" ht="24" thickBot="1" x14ac:dyDescent="0.4">
      <c r="A501" s="398"/>
      <c r="B501" s="399"/>
      <c r="C501" s="400"/>
      <c r="D501" s="409"/>
      <c r="E501" s="401"/>
      <c r="F501" s="411"/>
      <c r="G501" s="402">
        <f t="shared" si="35"/>
        <v>0</v>
      </c>
    </row>
    <row r="502" spans="1:7" ht="18.75" customHeight="1" x14ac:dyDescent="0.35">
      <c r="A502" s="383"/>
      <c r="B502" s="384"/>
      <c r="C502" s="385"/>
      <c r="D502" s="386"/>
      <c r="E502" s="387"/>
      <c r="F502" s="410"/>
      <c r="G502" s="387"/>
    </row>
    <row r="503" spans="1:7" s="160" customFormat="1" x14ac:dyDescent="0.35">
      <c r="A503" s="388"/>
      <c r="B503" s="389"/>
      <c r="C503" s="390"/>
      <c r="D503" s="391"/>
      <c r="E503" s="391"/>
      <c r="F503" s="393" t="s">
        <v>2</v>
      </c>
      <c r="G503" s="393"/>
    </row>
    <row r="504" spans="1:7" s="160" customFormat="1" ht="24" thickBot="1" x14ac:dyDescent="0.4">
      <c r="A504" s="394"/>
      <c r="B504" s="395"/>
      <c r="C504" s="396" t="s">
        <v>753</v>
      </c>
      <c r="D504" s="397" t="s">
        <v>3</v>
      </c>
      <c r="E504" s="397" t="s">
        <v>1</v>
      </c>
      <c r="F504" s="397" t="s">
        <v>4</v>
      </c>
      <c r="G504" s="397" t="s">
        <v>5</v>
      </c>
    </row>
    <row r="505" spans="1:7" s="160" customFormat="1" ht="18" customHeight="1" x14ac:dyDescent="0.35">
      <c r="A505" s="398"/>
      <c r="B505" s="399"/>
      <c r="C505" s="400"/>
      <c r="D505" s="409"/>
      <c r="E505" s="401"/>
      <c r="F505" s="411"/>
      <c r="G505" s="402">
        <f t="shared" ref="G505:G506" si="36">ROUND(D505*F505,2)</f>
        <v>0</v>
      </c>
    </row>
    <row r="506" spans="1:7" s="160" customFormat="1" x14ac:dyDescent="0.35">
      <c r="A506" s="398"/>
      <c r="B506" s="399"/>
      <c r="C506" s="412" t="s">
        <v>843</v>
      </c>
      <c r="D506" s="409"/>
      <c r="E506" s="401"/>
      <c r="F506" s="411"/>
      <c r="G506" s="402">
        <f t="shared" si="36"/>
        <v>0</v>
      </c>
    </row>
    <row r="507" spans="1:7" s="160" customFormat="1" x14ac:dyDescent="0.35">
      <c r="A507" s="398"/>
      <c r="B507" s="399"/>
      <c r="C507" s="400"/>
      <c r="D507" s="409"/>
      <c r="E507" s="401"/>
      <c r="F507" s="411"/>
      <c r="G507" s="402">
        <f t="shared" ref="G507:G526" si="37">D507*F507</f>
        <v>0</v>
      </c>
    </row>
    <row r="508" spans="1:7" s="160" customFormat="1" ht="93" x14ac:dyDescent="0.35">
      <c r="A508" s="398"/>
      <c r="B508" s="399"/>
      <c r="C508" s="400" t="s">
        <v>850</v>
      </c>
      <c r="D508" s="409">
        <v>72</v>
      </c>
      <c r="E508" s="401" t="s">
        <v>468</v>
      </c>
      <c r="F508" s="411"/>
      <c r="G508" s="402">
        <f t="shared" si="37"/>
        <v>0</v>
      </c>
    </row>
    <row r="509" spans="1:7" s="160" customFormat="1" x14ac:dyDescent="0.35">
      <c r="A509" s="398"/>
      <c r="B509" s="399"/>
      <c r="C509" s="400"/>
      <c r="D509" s="409"/>
      <c r="E509" s="401"/>
      <c r="F509" s="411"/>
      <c r="G509" s="402">
        <f t="shared" si="37"/>
        <v>0</v>
      </c>
    </row>
    <row r="510" spans="1:7" s="160" customFormat="1" ht="93" x14ac:dyDescent="0.35">
      <c r="A510" s="398"/>
      <c r="B510" s="399"/>
      <c r="C510" s="400" t="s">
        <v>852</v>
      </c>
      <c r="D510" s="409">
        <v>62</v>
      </c>
      <c r="E510" s="401" t="s">
        <v>468</v>
      </c>
      <c r="F510" s="411"/>
      <c r="G510" s="402">
        <f t="shared" si="37"/>
        <v>0</v>
      </c>
    </row>
    <row r="511" spans="1:7" s="160" customFormat="1" x14ac:dyDescent="0.35">
      <c r="A511" s="398"/>
      <c r="B511" s="399"/>
      <c r="C511" s="400"/>
      <c r="D511" s="409"/>
      <c r="E511" s="401"/>
      <c r="F511" s="411"/>
      <c r="G511" s="402">
        <f t="shared" si="37"/>
        <v>0</v>
      </c>
    </row>
    <row r="512" spans="1:7" s="160" customFormat="1" ht="93" x14ac:dyDescent="0.35">
      <c r="A512" s="398"/>
      <c r="B512" s="399"/>
      <c r="C512" s="400" t="s">
        <v>851</v>
      </c>
      <c r="D512" s="409">
        <v>74</v>
      </c>
      <c r="E512" s="401" t="s">
        <v>468</v>
      </c>
      <c r="F512" s="411"/>
      <c r="G512" s="402">
        <f t="shared" si="37"/>
        <v>0</v>
      </c>
    </row>
    <row r="513" spans="1:7" s="160" customFormat="1" x14ac:dyDescent="0.35">
      <c r="A513" s="398"/>
      <c r="B513" s="399"/>
      <c r="C513" s="400"/>
      <c r="D513" s="409"/>
      <c r="E513" s="401"/>
      <c r="F513" s="411"/>
      <c r="G513" s="402">
        <f t="shared" si="37"/>
        <v>0</v>
      </c>
    </row>
    <row r="514" spans="1:7" s="160" customFormat="1" ht="46.5" x14ac:dyDescent="0.35">
      <c r="A514" s="398"/>
      <c r="B514" s="399"/>
      <c r="C514" s="435" t="s">
        <v>849</v>
      </c>
      <c r="D514" s="442">
        <v>6</v>
      </c>
      <c r="E514" s="440" t="s">
        <v>810</v>
      </c>
      <c r="F514" s="438"/>
      <c r="G514" s="439">
        <f t="shared" si="37"/>
        <v>0</v>
      </c>
    </row>
    <row r="515" spans="1:7" s="160" customFormat="1" x14ac:dyDescent="0.35">
      <c r="A515" s="398"/>
      <c r="B515" s="399"/>
      <c r="C515" s="400"/>
      <c r="D515" s="409"/>
      <c r="E515" s="401"/>
      <c r="F515" s="411"/>
      <c r="G515" s="402">
        <f t="shared" si="37"/>
        <v>0</v>
      </c>
    </row>
    <row r="516" spans="1:7" s="160" customFormat="1" ht="69.75" x14ac:dyDescent="0.35">
      <c r="A516" s="398"/>
      <c r="B516" s="399"/>
      <c r="C516" s="400" t="s">
        <v>853</v>
      </c>
      <c r="D516" s="409">
        <v>1060</v>
      </c>
      <c r="E516" s="401" t="s">
        <v>772</v>
      </c>
      <c r="F516" s="411"/>
      <c r="G516" s="402">
        <f t="shared" si="37"/>
        <v>0</v>
      </c>
    </row>
    <row r="517" spans="1:7" s="160" customFormat="1" x14ac:dyDescent="0.35">
      <c r="A517" s="398"/>
      <c r="B517" s="399"/>
      <c r="C517" s="400"/>
      <c r="D517" s="409"/>
      <c r="E517" s="401"/>
      <c r="F517" s="411"/>
      <c r="G517" s="402">
        <f t="shared" si="37"/>
        <v>0</v>
      </c>
    </row>
    <row r="518" spans="1:7" s="160" customFormat="1" ht="69.75" x14ac:dyDescent="0.35">
      <c r="A518" s="398"/>
      <c r="B518" s="399"/>
      <c r="C518" s="400" t="s">
        <v>854</v>
      </c>
      <c r="D518" s="409">
        <v>282</v>
      </c>
      <c r="E518" s="401" t="s">
        <v>772</v>
      </c>
      <c r="F518" s="411"/>
      <c r="G518" s="402">
        <f t="shared" si="37"/>
        <v>0</v>
      </c>
    </row>
    <row r="519" spans="1:7" s="160" customFormat="1" x14ac:dyDescent="0.35">
      <c r="A519" s="398"/>
      <c r="B519" s="399"/>
      <c r="C519" s="400"/>
      <c r="D519" s="409"/>
      <c r="E519" s="401"/>
      <c r="F519" s="411"/>
      <c r="G519" s="402">
        <f t="shared" si="37"/>
        <v>0</v>
      </c>
    </row>
    <row r="520" spans="1:7" s="160" customFormat="1" ht="69.75" x14ac:dyDescent="0.35">
      <c r="A520" s="398"/>
      <c r="B520" s="399"/>
      <c r="C520" s="400" t="s">
        <v>855</v>
      </c>
      <c r="D520" s="409">
        <v>54</v>
      </c>
      <c r="E520" s="401" t="s">
        <v>772</v>
      </c>
      <c r="F520" s="411"/>
      <c r="G520" s="402">
        <f t="shared" si="37"/>
        <v>0</v>
      </c>
    </row>
    <row r="521" spans="1:7" s="160" customFormat="1" x14ac:dyDescent="0.35">
      <c r="A521" s="398"/>
      <c r="B521" s="399"/>
      <c r="C521" s="400"/>
      <c r="D521" s="409"/>
      <c r="E521" s="401"/>
      <c r="F521" s="411"/>
      <c r="G521" s="402">
        <f t="shared" si="37"/>
        <v>0</v>
      </c>
    </row>
    <row r="522" spans="1:7" s="160" customFormat="1" ht="69.75" x14ac:dyDescent="0.35">
      <c r="A522" s="398"/>
      <c r="B522" s="399"/>
      <c r="C522" s="400" t="s">
        <v>856</v>
      </c>
      <c r="D522" s="409">
        <v>176</v>
      </c>
      <c r="E522" s="401" t="s">
        <v>772</v>
      </c>
      <c r="F522" s="411"/>
      <c r="G522" s="402">
        <f>D522*F522</f>
        <v>0</v>
      </c>
    </row>
    <row r="523" spans="1:7" s="160" customFormat="1" x14ac:dyDescent="0.35">
      <c r="A523" s="398"/>
      <c r="B523" s="399"/>
      <c r="C523" s="400"/>
      <c r="D523" s="409"/>
      <c r="E523" s="401"/>
      <c r="F523" s="411"/>
      <c r="G523" s="402">
        <f t="shared" si="37"/>
        <v>0</v>
      </c>
    </row>
    <row r="524" spans="1:7" s="160" customFormat="1" ht="93" x14ac:dyDescent="0.35">
      <c r="A524" s="398"/>
      <c r="B524" s="399"/>
      <c r="C524" s="435" t="s">
        <v>857</v>
      </c>
      <c r="D524" s="442">
        <v>164</v>
      </c>
      <c r="E524" s="440" t="s">
        <v>26</v>
      </c>
      <c r="F524" s="438"/>
      <c r="G524" s="439">
        <f t="shared" si="37"/>
        <v>0</v>
      </c>
    </row>
    <row r="525" spans="1:7" s="160" customFormat="1" x14ac:dyDescent="0.35">
      <c r="A525" s="398"/>
      <c r="B525" s="399"/>
      <c r="C525" s="400"/>
      <c r="D525" s="409"/>
      <c r="E525" s="401"/>
      <c r="F525" s="411"/>
      <c r="G525" s="402">
        <f t="shared" si="37"/>
        <v>0</v>
      </c>
    </row>
    <row r="526" spans="1:7" s="160" customFormat="1" ht="93" x14ac:dyDescent="0.35">
      <c r="A526" s="398"/>
      <c r="B526" s="399"/>
      <c r="C526" s="400" t="s">
        <v>860</v>
      </c>
      <c r="D526" s="409">
        <v>76</v>
      </c>
      <c r="E526" s="401" t="s">
        <v>772</v>
      </c>
      <c r="F526" s="411"/>
      <c r="G526" s="402">
        <f t="shared" si="37"/>
        <v>0</v>
      </c>
    </row>
    <row r="527" spans="1:7" s="160" customFormat="1" ht="24" thickBot="1" x14ac:dyDescent="0.4">
      <c r="A527" s="398"/>
      <c r="B527" s="399"/>
      <c r="C527" s="400"/>
      <c r="D527" s="409"/>
      <c r="E527" s="401"/>
      <c r="F527" s="411"/>
      <c r="G527" s="402">
        <f t="shared" ref="G527:G529" si="38">ROUND(D527*F527,2)</f>
        <v>0</v>
      </c>
    </row>
    <row r="528" spans="1:7" s="160" customFormat="1" ht="24" thickBot="1" x14ac:dyDescent="0.4">
      <c r="A528" s="398"/>
      <c r="B528" s="399"/>
      <c r="C528" s="404" t="s">
        <v>760</v>
      </c>
      <c r="D528" s="409"/>
      <c r="E528" s="401"/>
      <c r="F528" s="411"/>
      <c r="G528" s="405">
        <f>SUM(G507:G527)</f>
        <v>0</v>
      </c>
    </row>
    <row r="529" spans="1:7" s="160" customFormat="1" ht="24" thickBot="1" x14ac:dyDescent="0.4">
      <c r="A529" s="398"/>
      <c r="B529" s="399"/>
      <c r="C529" s="400"/>
      <c r="D529" s="409"/>
      <c r="E529" s="401"/>
      <c r="F529" s="411"/>
      <c r="G529" s="402">
        <f t="shared" si="38"/>
        <v>0</v>
      </c>
    </row>
    <row r="530" spans="1:7" ht="18.75" customHeight="1" x14ac:dyDescent="0.35">
      <c r="A530" s="383"/>
      <c r="B530" s="384"/>
      <c r="C530" s="385"/>
      <c r="D530" s="386"/>
      <c r="E530" s="387"/>
      <c r="F530" s="410"/>
      <c r="G530" s="387"/>
    </row>
    <row r="531" spans="1:7" s="160" customFormat="1" x14ac:dyDescent="0.35">
      <c r="A531" s="388"/>
      <c r="B531" s="389"/>
      <c r="C531" s="390"/>
      <c r="D531" s="391"/>
      <c r="E531" s="391"/>
      <c r="F531" s="393" t="s">
        <v>2</v>
      </c>
      <c r="G531" s="393"/>
    </row>
    <row r="532" spans="1:7" s="160" customFormat="1" ht="24" thickBot="1" x14ac:dyDescent="0.4">
      <c r="A532" s="394"/>
      <c r="B532" s="395"/>
      <c r="C532" s="396" t="s">
        <v>753</v>
      </c>
      <c r="D532" s="397" t="s">
        <v>3</v>
      </c>
      <c r="E532" s="397" t="s">
        <v>1</v>
      </c>
      <c r="F532" s="397" t="s">
        <v>4</v>
      </c>
      <c r="G532" s="397" t="s">
        <v>5</v>
      </c>
    </row>
    <row r="533" spans="1:7" s="160" customFormat="1" ht="18" customHeight="1" x14ac:dyDescent="0.35">
      <c r="A533" s="398"/>
      <c r="B533" s="399"/>
      <c r="C533" s="400"/>
      <c r="D533" s="409"/>
      <c r="E533" s="401"/>
      <c r="F533" s="411"/>
      <c r="G533" s="402">
        <f t="shared" ref="G533:G577" si="39">ROUND(D533*F533,2)</f>
        <v>0</v>
      </c>
    </row>
    <row r="534" spans="1:7" s="160" customFormat="1" ht="46.5" x14ac:dyDescent="0.35">
      <c r="A534" s="398"/>
      <c r="B534" s="399"/>
      <c r="C534" s="412" t="s">
        <v>858</v>
      </c>
      <c r="D534" s="409"/>
      <c r="E534" s="401"/>
      <c r="F534" s="411"/>
      <c r="G534" s="402">
        <f t="shared" si="39"/>
        <v>0</v>
      </c>
    </row>
    <row r="535" spans="1:7" s="160" customFormat="1" x14ac:dyDescent="0.35">
      <c r="A535" s="398"/>
      <c r="B535" s="399"/>
      <c r="C535" s="400"/>
      <c r="D535" s="409"/>
      <c r="E535" s="401"/>
      <c r="F535" s="411"/>
      <c r="G535" s="402">
        <f t="shared" ref="G535:G560" si="40">D535*F535</f>
        <v>0</v>
      </c>
    </row>
    <row r="536" spans="1:7" s="160" customFormat="1" ht="139.5" x14ac:dyDescent="0.35">
      <c r="A536" s="398"/>
      <c r="B536" s="399"/>
      <c r="C536" s="400" t="s">
        <v>859</v>
      </c>
      <c r="D536" s="409">
        <v>278</v>
      </c>
      <c r="E536" s="401" t="s">
        <v>468</v>
      </c>
      <c r="F536" s="411"/>
      <c r="G536" s="402">
        <f t="shared" si="40"/>
        <v>0</v>
      </c>
    </row>
    <row r="537" spans="1:7" s="160" customFormat="1" x14ac:dyDescent="0.35">
      <c r="A537" s="398"/>
      <c r="B537" s="399"/>
      <c r="C537" s="400"/>
      <c r="D537" s="409"/>
      <c r="E537" s="401"/>
      <c r="F537" s="411"/>
      <c r="G537" s="402">
        <f t="shared" si="40"/>
        <v>0</v>
      </c>
    </row>
    <row r="538" spans="1:7" s="160" customFormat="1" ht="46.5" x14ac:dyDescent="0.35">
      <c r="A538" s="398"/>
      <c r="B538" s="399"/>
      <c r="C538" s="400" t="s">
        <v>861</v>
      </c>
      <c r="D538" s="409">
        <v>12</v>
      </c>
      <c r="E538" s="401" t="s">
        <v>761</v>
      </c>
      <c r="F538" s="411"/>
      <c r="G538" s="402">
        <f t="shared" si="40"/>
        <v>0</v>
      </c>
    </row>
    <row r="539" spans="1:7" s="160" customFormat="1" x14ac:dyDescent="0.35">
      <c r="A539" s="398"/>
      <c r="B539" s="399"/>
      <c r="C539" s="400"/>
      <c r="D539" s="409"/>
      <c r="E539" s="401"/>
      <c r="F539" s="411"/>
      <c r="G539" s="402">
        <f t="shared" si="40"/>
        <v>0</v>
      </c>
    </row>
    <row r="540" spans="1:7" s="160" customFormat="1" ht="69.75" x14ac:dyDescent="0.35">
      <c r="A540" s="398"/>
      <c r="B540" s="399"/>
      <c r="C540" s="400" t="s">
        <v>862</v>
      </c>
      <c r="D540" s="409">
        <v>184</v>
      </c>
      <c r="E540" s="401" t="s">
        <v>772</v>
      </c>
      <c r="F540" s="411"/>
      <c r="G540" s="402">
        <f t="shared" si="40"/>
        <v>0</v>
      </c>
    </row>
    <row r="541" spans="1:7" s="160" customFormat="1" x14ac:dyDescent="0.35">
      <c r="A541" s="398"/>
      <c r="B541" s="399"/>
      <c r="C541" s="400"/>
      <c r="D541" s="409"/>
      <c r="E541" s="401"/>
      <c r="F541" s="411"/>
      <c r="G541" s="402">
        <f t="shared" si="40"/>
        <v>0</v>
      </c>
    </row>
    <row r="542" spans="1:7" s="160" customFormat="1" ht="116.25" x14ac:dyDescent="0.35">
      <c r="A542" s="398"/>
      <c r="B542" s="399"/>
      <c r="C542" s="400" t="s">
        <v>903</v>
      </c>
      <c r="D542" s="446">
        <v>200</v>
      </c>
      <c r="E542" s="401" t="s">
        <v>772</v>
      </c>
      <c r="F542" s="411"/>
      <c r="G542" s="402">
        <f t="shared" si="40"/>
        <v>0</v>
      </c>
    </row>
    <row r="543" spans="1:7" s="160" customFormat="1" x14ac:dyDescent="0.35">
      <c r="A543" s="398"/>
      <c r="B543" s="399"/>
      <c r="C543" s="400"/>
      <c r="D543" s="409"/>
      <c r="E543" s="401"/>
      <c r="F543" s="411"/>
      <c r="G543" s="402">
        <f t="shared" si="40"/>
        <v>0</v>
      </c>
    </row>
    <row r="544" spans="1:7" s="160" customFormat="1" x14ac:dyDescent="0.35">
      <c r="A544" s="398"/>
      <c r="B544" s="399"/>
      <c r="C544" s="400"/>
      <c r="D544" s="409"/>
      <c r="E544" s="401"/>
      <c r="F544" s="411"/>
      <c r="G544" s="402">
        <f t="shared" si="40"/>
        <v>0</v>
      </c>
    </row>
    <row r="545" spans="1:7" s="160" customFormat="1" x14ac:dyDescent="0.35">
      <c r="A545" s="398"/>
      <c r="B545" s="399"/>
      <c r="C545" s="400" t="s">
        <v>830</v>
      </c>
      <c r="D545" s="409">
        <v>1</v>
      </c>
      <c r="E545" s="401" t="s">
        <v>819</v>
      </c>
      <c r="F545" s="411"/>
      <c r="G545" s="402">
        <f t="shared" si="40"/>
        <v>0</v>
      </c>
    </row>
    <row r="546" spans="1:7" s="160" customFormat="1" x14ac:dyDescent="0.35">
      <c r="A546" s="398"/>
      <c r="B546" s="399"/>
      <c r="C546" s="400"/>
      <c r="D546" s="409"/>
      <c r="E546" s="401"/>
      <c r="F546" s="411"/>
      <c r="G546" s="402">
        <f t="shared" si="40"/>
        <v>0</v>
      </c>
    </row>
    <row r="547" spans="1:7" s="160" customFormat="1" x14ac:dyDescent="0.35">
      <c r="A547" s="398"/>
      <c r="B547" s="399"/>
      <c r="C547" s="400"/>
      <c r="D547" s="409"/>
      <c r="E547" s="401"/>
      <c r="F547" s="411"/>
      <c r="G547" s="402">
        <f t="shared" si="40"/>
        <v>0</v>
      </c>
    </row>
    <row r="548" spans="1:7" s="160" customFormat="1" x14ac:dyDescent="0.35">
      <c r="A548" s="398"/>
      <c r="B548" s="399"/>
      <c r="C548" s="400"/>
      <c r="D548" s="409"/>
      <c r="E548" s="401"/>
      <c r="F548" s="411"/>
      <c r="G548" s="402">
        <f t="shared" si="40"/>
        <v>0</v>
      </c>
    </row>
    <row r="549" spans="1:7" s="160" customFormat="1" x14ac:dyDescent="0.35">
      <c r="A549" s="398"/>
      <c r="B549" s="399"/>
      <c r="C549" s="400"/>
      <c r="D549" s="409"/>
      <c r="E549" s="401"/>
      <c r="F549" s="411"/>
      <c r="G549" s="402">
        <f t="shared" si="40"/>
        <v>0</v>
      </c>
    </row>
    <row r="550" spans="1:7" s="160" customFormat="1" x14ac:dyDescent="0.35">
      <c r="A550" s="398"/>
      <c r="B550" s="399"/>
      <c r="C550" s="400"/>
      <c r="D550" s="409"/>
      <c r="E550" s="401"/>
      <c r="F550" s="411"/>
      <c r="G550" s="402">
        <f t="shared" si="40"/>
        <v>0</v>
      </c>
    </row>
    <row r="551" spans="1:7" s="160" customFormat="1" x14ac:dyDescent="0.35">
      <c r="A551" s="398"/>
      <c r="B551" s="399"/>
      <c r="C551" s="400"/>
      <c r="D551" s="409"/>
      <c r="E551" s="401"/>
      <c r="F551" s="411"/>
      <c r="G551" s="402">
        <f t="shared" si="40"/>
        <v>0</v>
      </c>
    </row>
    <row r="552" spans="1:7" s="160" customFormat="1" x14ac:dyDescent="0.35">
      <c r="A552" s="398"/>
      <c r="B552" s="399"/>
      <c r="C552" s="400"/>
      <c r="D552" s="409"/>
      <c r="E552" s="401"/>
      <c r="F552" s="411"/>
      <c r="G552" s="402">
        <f t="shared" si="40"/>
        <v>0</v>
      </c>
    </row>
    <row r="553" spans="1:7" s="160" customFormat="1" x14ac:dyDescent="0.35">
      <c r="A553" s="398"/>
      <c r="B553" s="399"/>
      <c r="C553" s="400"/>
      <c r="D553" s="409"/>
      <c r="E553" s="401"/>
      <c r="F553" s="411"/>
      <c r="G553" s="402">
        <f t="shared" si="40"/>
        <v>0</v>
      </c>
    </row>
    <row r="554" spans="1:7" s="160" customFormat="1" x14ac:dyDescent="0.35">
      <c r="A554" s="398"/>
      <c r="B554" s="399"/>
      <c r="C554" s="400"/>
      <c r="D554" s="409"/>
      <c r="E554" s="401"/>
      <c r="F554" s="411"/>
      <c r="G554" s="402">
        <f t="shared" si="40"/>
        <v>0</v>
      </c>
    </row>
    <row r="555" spans="1:7" s="160" customFormat="1" x14ac:dyDescent="0.35">
      <c r="A555" s="398"/>
      <c r="B555" s="399"/>
      <c r="C555" s="400"/>
      <c r="D555" s="409"/>
      <c r="E555" s="401"/>
      <c r="F555" s="411"/>
      <c r="G555" s="402">
        <f t="shared" si="40"/>
        <v>0</v>
      </c>
    </row>
    <row r="556" spans="1:7" s="160" customFormat="1" x14ac:dyDescent="0.35">
      <c r="A556" s="398"/>
      <c r="B556" s="399"/>
      <c r="C556" s="400"/>
      <c r="D556" s="409"/>
      <c r="E556" s="401"/>
      <c r="F556" s="411"/>
      <c r="G556" s="402">
        <f t="shared" si="40"/>
        <v>0</v>
      </c>
    </row>
    <row r="557" spans="1:7" s="160" customFormat="1" ht="24" thickBot="1" x14ac:dyDescent="0.4">
      <c r="A557" s="398"/>
      <c r="B557" s="399"/>
      <c r="C557" s="400"/>
      <c r="D557" s="409"/>
      <c r="E557" s="401"/>
      <c r="F557" s="411"/>
      <c r="G557" s="402">
        <f t="shared" si="40"/>
        <v>0</v>
      </c>
    </row>
    <row r="558" spans="1:7" s="160" customFormat="1" ht="24" thickBot="1" x14ac:dyDescent="0.4">
      <c r="A558" s="398"/>
      <c r="B558" s="399"/>
      <c r="C558" s="404" t="s">
        <v>760</v>
      </c>
      <c r="D558" s="409"/>
      <c r="E558" s="401"/>
      <c r="F558" s="411"/>
      <c r="G558" s="405">
        <f>SUM(G535:G557)</f>
        <v>0</v>
      </c>
    </row>
    <row r="559" spans="1:7" s="160" customFormat="1" x14ac:dyDescent="0.35">
      <c r="A559" s="398"/>
      <c r="B559" s="399"/>
      <c r="C559" s="400"/>
      <c r="D559" s="409"/>
      <c r="E559" s="401"/>
      <c r="F559" s="411"/>
      <c r="G559" s="402">
        <f t="shared" si="40"/>
        <v>0</v>
      </c>
    </row>
    <row r="560" spans="1:7" s="160" customFormat="1" x14ac:dyDescent="0.35">
      <c r="A560" s="398"/>
      <c r="B560" s="399"/>
      <c r="C560" s="400"/>
      <c r="D560" s="409"/>
      <c r="E560" s="401"/>
      <c r="F560" s="411"/>
      <c r="G560" s="402">
        <f t="shared" si="40"/>
        <v>0</v>
      </c>
    </row>
    <row r="561" spans="1:7" s="160" customFormat="1" x14ac:dyDescent="0.35">
      <c r="A561" s="398"/>
      <c r="B561" s="399"/>
      <c r="C561" s="400"/>
      <c r="D561" s="409"/>
      <c r="E561" s="401"/>
      <c r="F561" s="411"/>
      <c r="G561" s="402">
        <f t="shared" si="39"/>
        <v>0</v>
      </c>
    </row>
    <row r="562" spans="1:7" s="160" customFormat="1" x14ac:dyDescent="0.35">
      <c r="A562" s="398"/>
      <c r="B562" s="399"/>
      <c r="C562" s="400"/>
      <c r="D562" s="409"/>
      <c r="E562" s="401"/>
      <c r="F562" s="411"/>
      <c r="G562" s="402">
        <f t="shared" si="39"/>
        <v>0</v>
      </c>
    </row>
    <row r="563" spans="1:7" s="160" customFormat="1" x14ac:dyDescent="0.35">
      <c r="A563" s="398"/>
      <c r="B563" s="399"/>
      <c r="C563" s="400"/>
      <c r="D563" s="409"/>
      <c r="E563" s="401"/>
      <c r="F563" s="411"/>
      <c r="G563" s="402">
        <f t="shared" si="39"/>
        <v>0</v>
      </c>
    </row>
    <row r="564" spans="1:7" s="160" customFormat="1" x14ac:dyDescent="0.35">
      <c r="A564" s="398"/>
      <c r="B564" s="399"/>
      <c r="C564" s="400"/>
      <c r="D564" s="409"/>
      <c r="E564" s="401"/>
      <c r="F564" s="411"/>
      <c r="G564" s="402">
        <f t="shared" si="39"/>
        <v>0</v>
      </c>
    </row>
    <row r="565" spans="1:7" s="160" customFormat="1" x14ac:dyDescent="0.35">
      <c r="A565" s="398"/>
      <c r="B565" s="399"/>
      <c r="C565" s="400"/>
      <c r="D565" s="409"/>
      <c r="E565" s="401"/>
      <c r="F565" s="411"/>
      <c r="G565" s="402">
        <f t="shared" si="39"/>
        <v>0</v>
      </c>
    </row>
    <row r="566" spans="1:7" s="160" customFormat="1" x14ac:dyDescent="0.35">
      <c r="A566" s="398"/>
      <c r="B566" s="399"/>
      <c r="C566" s="400"/>
      <c r="D566" s="409"/>
      <c r="E566" s="401"/>
      <c r="F566" s="411"/>
      <c r="G566" s="402">
        <f t="shared" si="39"/>
        <v>0</v>
      </c>
    </row>
    <row r="567" spans="1:7" s="160" customFormat="1" x14ac:dyDescent="0.35">
      <c r="A567" s="398"/>
      <c r="B567" s="399"/>
      <c r="C567" s="400"/>
      <c r="D567" s="409"/>
      <c r="E567" s="401"/>
      <c r="F567" s="411"/>
      <c r="G567" s="402"/>
    </row>
    <row r="568" spans="1:7" s="160" customFormat="1" x14ac:dyDescent="0.35">
      <c r="A568" s="398"/>
      <c r="B568" s="399"/>
      <c r="C568" s="400"/>
      <c r="D568" s="409"/>
      <c r="E568" s="401"/>
      <c r="F568" s="411"/>
      <c r="G568" s="402"/>
    </row>
    <row r="569" spans="1:7" s="160" customFormat="1" x14ac:dyDescent="0.35">
      <c r="A569" s="398"/>
      <c r="B569" s="399"/>
      <c r="C569" s="400"/>
      <c r="D569" s="409"/>
      <c r="E569" s="401"/>
      <c r="F569" s="411"/>
      <c r="G569" s="402"/>
    </row>
    <row r="570" spans="1:7" s="160" customFormat="1" x14ac:dyDescent="0.35">
      <c r="A570" s="398"/>
      <c r="B570" s="399"/>
      <c r="C570" s="400"/>
      <c r="D570" s="409"/>
      <c r="E570" s="401"/>
      <c r="F570" s="411"/>
      <c r="G570" s="402">
        <f t="shared" si="39"/>
        <v>0</v>
      </c>
    </row>
    <row r="571" spans="1:7" s="160" customFormat="1" ht="24" thickBot="1" x14ac:dyDescent="0.4">
      <c r="A571" s="398"/>
      <c r="B571" s="399"/>
      <c r="C571" s="400"/>
      <c r="D571" s="409"/>
      <c r="E571" s="401"/>
      <c r="F571" s="411"/>
      <c r="G571" s="402">
        <f t="shared" si="39"/>
        <v>0</v>
      </c>
    </row>
    <row r="572" spans="1:7" ht="18.75" customHeight="1" x14ac:dyDescent="0.35">
      <c r="A572" s="383"/>
      <c r="B572" s="384"/>
      <c r="C572" s="385"/>
      <c r="D572" s="386"/>
      <c r="E572" s="387"/>
      <c r="F572" s="410"/>
      <c r="G572" s="387"/>
    </row>
    <row r="573" spans="1:7" s="160" customFormat="1" x14ac:dyDescent="0.35">
      <c r="A573" s="388"/>
      <c r="B573" s="389"/>
      <c r="C573" s="390"/>
      <c r="D573" s="391"/>
      <c r="E573" s="391"/>
      <c r="F573" s="393" t="s">
        <v>2</v>
      </c>
      <c r="G573" s="393"/>
    </row>
    <row r="574" spans="1:7" s="160" customFormat="1" ht="24" thickBot="1" x14ac:dyDescent="0.4">
      <c r="A574" s="394"/>
      <c r="B574" s="395"/>
      <c r="C574" s="396" t="s">
        <v>753</v>
      </c>
      <c r="D574" s="397" t="s">
        <v>3</v>
      </c>
      <c r="E574" s="397" t="s">
        <v>1</v>
      </c>
      <c r="F574" s="397" t="s">
        <v>4</v>
      </c>
      <c r="G574" s="397" t="s">
        <v>5</v>
      </c>
    </row>
    <row r="575" spans="1:7" s="160" customFormat="1" ht="18" customHeight="1" x14ac:dyDescent="0.35">
      <c r="A575" s="398"/>
      <c r="B575" s="399"/>
      <c r="C575" s="400"/>
      <c r="D575" s="409"/>
      <c r="E575" s="401"/>
      <c r="F575" s="411"/>
      <c r="G575" s="402">
        <f t="shared" ref="G575:G576" si="41">ROUND(D575*F575,2)</f>
        <v>0</v>
      </c>
    </row>
    <row r="576" spans="1:7" s="160" customFormat="1" x14ac:dyDescent="0.35">
      <c r="A576" s="398"/>
      <c r="B576" s="399"/>
      <c r="C576" s="412" t="s">
        <v>863</v>
      </c>
      <c r="D576" s="409"/>
      <c r="E576" s="401"/>
      <c r="F576" s="411"/>
      <c r="G576" s="402">
        <f t="shared" si="41"/>
        <v>0</v>
      </c>
    </row>
    <row r="577" spans="1:7" s="160" customFormat="1" x14ac:dyDescent="0.35">
      <c r="A577" s="398"/>
      <c r="B577" s="399"/>
      <c r="C577" s="400"/>
      <c r="D577" s="409"/>
      <c r="E577" s="401"/>
      <c r="F577" s="411"/>
      <c r="G577" s="402">
        <f t="shared" si="39"/>
        <v>0</v>
      </c>
    </row>
    <row r="578" spans="1:7" s="160" customFormat="1" ht="46.5" x14ac:dyDescent="0.35">
      <c r="A578" s="398"/>
      <c r="B578" s="399"/>
      <c r="C578" s="400" t="s">
        <v>899</v>
      </c>
      <c r="D578" s="409">
        <v>6</v>
      </c>
      <c r="E578" s="401" t="s">
        <v>761</v>
      </c>
      <c r="F578" s="411"/>
      <c r="G578" s="402">
        <f t="shared" ref="G578:G600" si="42">D578*F578</f>
        <v>0</v>
      </c>
    </row>
    <row r="579" spans="1:7" s="160" customFormat="1" x14ac:dyDescent="0.35">
      <c r="A579" s="398"/>
      <c r="B579" s="399"/>
      <c r="C579" s="400"/>
      <c r="D579" s="409"/>
      <c r="E579" s="401"/>
      <c r="F579" s="411"/>
      <c r="G579" s="402">
        <f t="shared" si="42"/>
        <v>0</v>
      </c>
    </row>
    <row r="580" spans="1:7" s="160" customFormat="1" ht="46.5" x14ac:dyDescent="0.35">
      <c r="A580" s="398"/>
      <c r="B580" s="399"/>
      <c r="C580" s="400" t="s">
        <v>900</v>
      </c>
      <c r="D580" s="409">
        <v>6</v>
      </c>
      <c r="E580" s="401" t="s">
        <v>761</v>
      </c>
      <c r="F580" s="411"/>
      <c r="G580" s="402">
        <f t="shared" si="42"/>
        <v>0</v>
      </c>
    </row>
    <row r="581" spans="1:7" s="160" customFormat="1" x14ac:dyDescent="0.35">
      <c r="A581" s="398"/>
      <c r="B581" s="399"/>
      <c r="C581" s="400"/>
      <c r="D581" s="409"/>
      <c r="E581" s="401"/>
      <c r="F581" s="411"/>
      <c r="G581" s="402">
        <f t="shared" si="42"/>
        <v>0</v>
      </c>
    </row>
    <row r="582" spans="1:7" s="160" customFormat="1" ht="46.5" x14ac:dyDescent="0.35">
      <c r="A582" s="398"/>
      <c r="B582" s="399"/>
      <c r="C582" s="400" t="s">
        <v>865</v>
      </c>
      <c r="D582" s="409">
        <v>6</v>
      </c>
      <c r="E582" s="401" t="s">
        <v>761</v>
      </c>
      <c r="F582" s="411"/>
      <c r="G582" s="402">
        <f t="shared" si="42"/>
        <v>0</v>
      </c>
    </row>
    <row r="583" spans="1:7" s="160" customFormat="1" x14ac:dyDescent="0.35">
      <c r="A583" s="398"/>
      <c r="B583" s="399"/>
      <c r="C583" s="400"/>
      <c r="D583" s="409"/>
      <c r="E583" s="401"/>
      <c r="F583" s="411"/>
      <c r="G583" s="402">
        <f t="shared" si="42"/>
        <v>0</v>
      </c>
    </row>
    <row r="584" spans="1:7" s="160" customFormat="1" ht="46.5" x14ac:dyDescent="0.35">
      <c r="A584" s="398"/>
      <c r="B584" s="399"/>
      <c r="C584" s="435" t="s">
        <v>866</v>
      </c>
      <c r="D584" s="409">
        <v>12</v>
      </c>
      <c r="E584" s="401" t="s">
        <v>761</v>
      </c>
      <c r="F584" s="411"/>
      <c r="G584" s="402">
        <f t="shared" si="42"/>
        <v>0</v>
      </c>
    </row>
    <row r="585" spans="1:7" s="160" customFormat="1" x14ac:dyDescent="0.35">
      <c r="A585" s="398"/>
      <c r="B585" s="399"/>
      <c r="C585" s="400"/>
      <c r="D585" s="409"/>
      <c r="E585" s="401"/>
      <c r="F585" s="411"/>
      <c r="G585" s="402">
        <f>D585*F585</f>
        <v>0</v>
      </c>
    </row>
    <row r="586" spans="1:7" s="160" customFormat="1" ht="46.5" x14ac:dyDescent="0.35">
      <c r="A586" s="398"/>
      <c r="B586" s="399"/>
      <c r="C586" s="400" t="s">
        <v>867</v>
      </c>
      <c r="D586" s="409">
        <v>12</v>
      </c>
      <c r="E586" s="401" t="s">
        <v>761</v>
      </c>
      <c r="F586" s="411"/>
      <c r="G586" s="402">
        <f t="shared" si="42"/>
        <v>0</v>
      </c>
    </row>
    <row r="587" spans="1:7" s="160" customFormat="1" x14ac:dyDescent="0.35">
      <c r="A587" s="398"/>
      <c r="B587" s="399"/>
      <c r="C587" s="400"/>
      <c r="D587" s="409"/>
      <c r="E587" s="401"/>
      <c r="F587" s="411"/>
      <c r="G587" s="402">
        <f t="shared" si="42"/>
        <v>0</v>
      </c>
    </row>
    <row r="588" spans="1:7" s="160" customFormat="1" x14ac:dyDescent="0.35">
      <c r="A588" s="398"/>
      <c r="B588" s="399"/>
      <c r="C588" s="400"/>
      <c r="D588" s="409"/>
      <c r="E588" s="401"/>
      <c r="F588" s="411"/>
      <c r="G588" s="402">
        <f t="shared" si="42"/>
        <v>0</v>
      </c>
    </row>
    <row r="589" spans="1:7" s="160" customFormat="1" x14ac:dyDescent="0.35">
      <c r="A589" s="398"/>
      <c r="B589" s="399"/>
      <c r="C589" s="400"/>
      <c r="D589" s="409"/>
      <c r="E589" s="401"/>
      <c r="F589" s="411"/>
      <c r="G589" s="402">
        <f t="shared" si="42"/>
        <v>0</v>
      </c>
    </row>
    <row r="590" spans="1:7" s="160" customFormat="1" x14ac:dyDescent="0.35">
      <c r="A590" s="398"/>
      <c r="B590" s="399"/>
      <c r="C590" s="400"/>
      <c r="D590" s="409"/>
      <c r="E590" s="401"/>
      <c r="F590" s="411"/>
      <c r="G590" s="402">
        <f t="shared" si="42"/>
        <v>0</v>
      </c>
    </row>
    <row r="591" spans="1:7" s="160" customFormat="1" x14ac:dyDescent="0.35">
      <c r="A591" s="398"/>
      <c r="B591" s="399"/>
      <c r="C591" s="400"/>
      <c r="D591" s="409"/>
      <c r="E591" s="401"/>
      <c r="F591" s="411"/>
      <c r="G591" s="402">
        <f t="shared" si="42"/>
        <v>0</v>
      </c>
    </row>
    <row r="592" spans="1:7" s="160" customFormat="1" x14ac:dyDescent="0.35">
      <c r="A592" s="398"/>
      <c r="B592" s="399"/>
      <c r="C592" s="400"/>
      <c r="D592" s="409"/>
      <c r="E592" s="401"/>
      <c r="F592" s="411"/>
      <c r="G592" s="402">
        <f t="shared" si="42"/>
        <v>0</v>
      </c>
    </row>
    <row r="593" spans="1:7" s="160" customFormat="1" x14ac:dyDescent="0.35">
      <c r="A593" s="398"/>
      <c r="B593" s="399"/>
      <c r="C593" s="400" t="s">
        <v>830</v>
      </c>
      <c r="D593" s="446">
        <v>1</v>
      </c>
      <c r="E593" s="401" t="s">
        <v>819</v>
      </c>
      <c r="F593" s="411"/>
      <c r="G593" s="402">
        <f t="shared" si="42"/>
        <v>0</v>
      </c>
    </row>
    <row r="594" spans="1:7" s="160" customFormat="1" x14ac:dyDescent="0.35">
      <c r="A594" s="398"/>
      <c r="B594" s="399"/>
      <c r="C594" s="400"/>
      <c r="D594" s="409"/>
      <c r="E594" s="401"/>
      <c r="F594" s="411"/>
      <c r="G594" s="402">
        <f t="shared" si="42"/>
        <v>0</v>
      </c>
    </row>
    <row r="595" spans="1:7" s="160" customFormat="1" x14ac:dyDescent="0.35">
      <c r="A595" s="398"/>
      <c r="B595" s="399"/>
      <c r="C595" s="400"/>
      <c r="D595" s="409"/>
      <c r="E595" s="401"/>
      <c r="F595" s="411"/>
      <c r="G595" s="402">
        <f t="shared" si="42"/>
        <v>0</v>
      </c>
    </row>
    <row r="596" spans="1:7" s="160" customFormat="1" x14ac:dyDescent="0.35">
      <c r="A596" s="398"/>
      <c r="B596" s="399"/>
      <c r="C596" s="400"/>
      <c r="D596" s="409"/>
      <c r="E596" s="401"/>
      <c r="F596" s="411"/>
      <c r="G596" s="402">
        <f t="shared" si="42"/>
        <v>0</v>
      </c>
    </row>
    <row r="597" spans="1:7" s="160" customFormat="1" x14ac:dyDescent="0.35">
      <c r="A597" s="398"/>
      <c r="B597" s="399"/>
      <c r="C597" s="400"/>
      <c r="D597" s="409"/>
      <c r="E597" s="401"/>
      <c r="F597" s="411"/>
      <c r="G597" s="402">
        <f t="shared" si="42"/>
        <v>0</v>
      </c>
    </row>
    <row r="598" spans="1:7" s="160" customFormat="1" x14ac:dyDescent="0.35">
      <c r="A598" s="398"/>
      <c r="B598" s="399"/>
      <c r="C598" s="400"/>
      <c r="D598" s="409"/>
      <c r="E598" s="401"/>
      <c r="F598" s="411"/>
      <c r="G598" s="402">
        <f t="shared" si="42"/>
        <v>0</v>
      </c>
    </row>
    <row r="599" spans="1:7" s="160" customFormat="1" x14ac:dyDescent="0.35">
      <c r="A599" s="398"/>
      <c r="B599" s="399"/>
      <c r="C599" s="400"/>
      <c r="D599" s="409"/>
      <c r="E599" s="401"/>
      <c r="F599" s="411"/>
      <c r="G599" s="402">
        <f t="shared" si="42"/>
        <v>0</v>
      </c>
    </row>
    <row r="600" spans="1:7" s="160" customFormat="1" ht="24" thickBot="1" x14ac:dyDescent="0.4">
      <c r="A600" s="398"/>
      <c r="B600" s="399"/>
      <c r="C600" s="400"/>
      <c r="D600" s="409"/>
      <c r="E600" s="401"/>
      <c r="F600" s="411"/>
      <c r="G600" s="402">
        <f t="shared" si="42"/>
        <v>0</v>
      </c>
    </row>
    <row r="601" spans="1:7" s="160" customFormat="1" ht="24" thickBot="1" x14ac:dyDescent="0.4">
      <c r="A601" s="398"/>
      <c r="B601" s="399"/>
      <c r="C601" s="404" t="s">
        <v>760</v>
      </c>
      <c r="D601" s="409"/>
      <c r="E601" s="401"/>
      <c r="F601" s="411"/>
      <c r="G601" s="405">
        <f>SUM(G577:G600)</f>
        <v>0</v>
      </c>
    </row>
    <row r="602" spans="1:7" s="160" customFormat="1" x14ac:dyDescent="0.35">
      <c r="A602" s="398"/>
      <c r="B602" s="399"/>
      <c r="C602" s="400"/>
      <c r="D602" s="409"/>
      <c r="E602" s="401"/>
      <c r="F602" s="411"/>
      <c r="G602" s="402">
        <f t="shared" ref="G602:G617" si="43">ROUND(D602*F602,2)</f>
        <v>0</v>
      </c>
    </row>
    <row r="603" spans="1:7" s="160" customFormat="1" x14ac:dyDescent="0.35">
      <c r="A603" s="398"/>
      <c r="B603" s="399"/>
      <c r="C603" s="400"/>
      <c r="D603" s="409"/>
      <c r="E603" s="401"/>
      <c r="F603" s="411"/>
      <c r="G603" s="402">
        <f t="shared" si="43"/>
        <v>0</v>
      </c>
    </row>
    <row r="604" spans="1:7" s="160" customFormat="1" x14ac:dyDescent="0.35">
      <c r="A604" s="398"/>
      <c r="B604" s="399"/>
      <c r="C604" s="400"/>
      <c r="D604" s="409"/>
      <c r="E604" s="401"/>
      <c r="F604" s="411"/>
      <c r="G604" s="402">
        <f t="shared" si="43"/>
        <v>0</v>
      </c>
    </row>
    <row r="605" spans="1:7" s="160" customFormat="1" x14ac:dyDescent="0.35">
      <c r="A605" s="398"/>
      <c r="B605" s="399"/>
      <c r="C605" s="400"/>
      <c r="D605" s="409"/>
      <c r="E605" s="401"/>
      <c r="F605" s="411"/>
      <c r="G605" s="402">
        <f t="shared" si="43"/>
        <v>0</v>
      </c>
    </row>
    <row r="606" spans="1:7" s="160" customFormat="1" x14ac:dyDescent="0.35">
      <c r="A606" s="398"/>
      <c r="B606" s="399"/>
      <c r="C606" s="400"/>
      <c r="D606" s="409"/>
      <c r="E606" s="401"/>
      <c r="F606" s="411"/>
      <c r="G606" s="402">
        <f t="shared" si="43"/>
        <v>0</v>
      </c>
    </row>
    <row r="607" spans="1:7" s="160" customFormat="1" x14ac:dyDescent="0.35">
      <c r="A607" s="398"/>
      <c r="B607" s="399"/>
      <c r="C607" s="400"/>
      <c r="D607" s="409"/>
      <c r="E607" s="401"/>
      <c r="F607" s="411"/>
      <c r="G607" s="402">
        <f t="shared" si="43"/>
        <v>0</v>
      </c>
    </row>
    <row r="608" spans="1:7" s="160" customFormat="1" x14ac:dyDescent="0.35">
      <c r="A608" s="398"/>
      <c r="B608" s="399"/>
      <c r="C608" s="400"/>
      <c r="D608" s="409"/>
      <c r="E608" s="401"/>
      <c r="F608" s="411"/>
      <c r="G608" s="402">
        <f t="shared" si="43"/>
        <v>0</v>
      </c>
    </row>
    <row r="609" spans="1:7" s="160" customFormat="1" x14ac:dyDescent="0.35">
      <c r="A609" s="398"/>
      <c r="B609" s="399"/>
      <c r="C609" s="400"/>
      <c r="D609" s="409"/>
      <c r="E609" s="401"/>
      <c r="F609" s="411"/>
      <c r="G609" s="402">
        <f t="shared" si="43"/>
        <v>0</v>
      </c>
    </row>
    <row r="610" spans="1:7" s="160" customFormat="1" x14ac:dyDescent="0.35">
      <c r="A610" s="398"/>
      <c r="B610" s="399"/>
      <c r="C610" s="400"/>
      <c r="D610" s="409"/>
      <c r="E610" s="401"/>
      <c r="F610" s="411"/>
      <c r="G610" s="402">
        <f t="shared" si="43"/>
        <v>0</v>
      </c>
    </row>
    <row r="611" spans="1:7" s="160" customFormat="1" x14ac:dyDescent="0.35">
      <c r="A611" s="398"/>
      <c r="B611" s="399"/>
      <c r="C611" s="400"/>
      <c r="D611" s="409"/>
      <c r="E611" s="401"/>
      <c r="F611" s="411"/>
      <c r="G611" s="402">
        <f t="shared" si="43"/>
        <v>0</v>
      </c>
    </row>
    <row r="612" spans="1:7" s="160" customFormat="1" x14ac:dyDescent="0.35">
      <c r="A612" s="398"/>
      <c r="B612" s="399"/>
      <c r="C612" s="400"/>
      <c r="D612" s="409"/>
      <c r="E612" s="401"/>
      <c r="F612" s="411"/>
      <c r="G612" s="402">
        <f t="shared" si="43"/>
        <v>0</v>
      </c>
    </row>
    <row r="613" spans="1:7" s="160" customFormat="1" x14ac:dyDescent="0.35">
      <c r="A613" s="398"/>
      <c r="B613" s="399"/>
      <c r="C613" s="400"/>
      <c r="D613" s="409"/>
      <c r="E613" s="401"/>
      <c r="F613" s="411"/>
      <c r="G613" s="402">
        <f t="shared" si="43"/>
        <v>0</v>
      </c>
    </row>
    <row r="614" spans="1:7" s="160" customFormat="1" x14ac:dyDescent="0.35">
      <c r="A614" s="398"/>
      <c r="B614" s="399"/>
      <c r="C614" s="400"/>
      <c r="D614" s="409"/>
      <c r="E614" s="401"/>
      <c r="F614" s="411"/>
      <c r="G614" s="402">
        <f t="shared" si="43"/>
        <v>0</v>
      </c>
    </row>
    <row r="615" spans="1:7" s="160" customFormat="1" x14ac:dyDescent="0.35">
      <c r="A615" s="398"/>
      <c r="B615" s="399"/>
      <c r="C615" s="400"/>
      <c r="D615" s="409"/>
      <c r="E615" s="401"/>
      <c r="F615" s="411"/>
      <c r="G615" s="402">
        <f t="shared" si="43"/>
        <v>0</v>
      </c>
    </row>
    <row r="616" spans="1:7" s="160" customFormat="1" x14ac:dyDescent="0.35">
      <c r="A616" s="398"/>
      <c r="B616" s="399"/>
      <c r="C616" s="400"/>
      <c r="D616" s="409"/>
      <c r="E616" s="401"/>
      <c r="F616" s="411"/>
      <c r="G616" s="402">
        <f t="shared" si="43"/>
        <v>0</v>
      </c>
    </row>
    <row r="617" spans="1:7" s="160" customFormat="1" ht="24" thickBot="1" x14ac:dyDescent="0.4">
      <c r="A617" s="398"/>
      <c r="B617" s="399"/>
      <c r="C617" s="400"/>
      <c r="D617" s="409"/>
      <c r="E617" s="401"/>
      <c r="F617" s="411"/>
      <c r="G617" s="402">
        <f t="shared" si="43"/>
        <v>0</v>
      </c>
    </row>
    <row r="618" spans="1:7" ht="18.75" customHeight="1" x14ac:dyDescent="0.35">
      <c r="A618" s="383"/>
      <c r="B618" s="384"/>
      <c r="C618" s="385"/>
      <c r="D618" s="386"/>
      <c r="E618" s="387"/>
      <c r="F618" s="410"/>
      <c r="G618" s="387"/>
    </row>
    <row r="619" spans="1:7" s="160" customFormat="1" x14ac:dyDescent="0.35">
      <c r="A619" s="388"/>
      <c r="B619" s="389"/>
      <c r="C619" s="390"/>
      <c r="D619" s="391"/>
      <c r="E619" s="391"/>
      <c r="F619" s="393" t="s">
        <v>2</v>
      </c>
      <c r="G619" s="393"/>
    </row>
    <row r="620" spans="1:7" s="160" customFormat="1" ht="24" thickBot="1" x14ac:dyDescent="0.4">
      <c r="A620" s="394"/>
      <c r="B620" s="395"/>
      <c r="C620" s="396" t="s">
        <v>753</v>
      </c>
      <c r="D620" s="397" t="s">
        <v>3</v>
      </c>
      <c r="E620" s="397" t="s">
        <v>1</v>
      </c>
      <c r="F620" s="397" t="s">
        <v>4</v>
      </c>
      <c r="G620" s="397" t="s">
        <v>5</v>
      </c>
    </row>
    <row r="621" spans="1:7" s="160" customFormat="1" ht="18" customHeight="1" x14ac:dyDescent="0.35">
      <c r="A621" s="398"/>
      <c r="B621" s="399"/>
      <c r="C621" s="400"/>
      <c r="D621" s="409"/>
      <c r="E621" s="401"/>
      <c r="F621" s="411"/>
      <c r="G621" s="402">
        <f t="shared" ref="G621:G622" si="44">ROUND(D621*F621,2)</f>
        <v>0</v>
      </c>
    </row>
    <row r="622" spans="1:7" s="160" customFormat="1" x14ac:dyDescent="0.35">
      <c r="A622" s="398"/>
      <c r="B622" s="399"/>
      <c r="C622" s="412" t="s">
        <v>869</v>
      </c>
      <c r="D622" s="409"/>
      <c r="E622" s="401"/>
      <c r="F622" s="411"/>
      <c r="G622" s="402">
        <f t="shared" si="44"/>
        <v>0</v>
      </c>
    </row>
    <row r="623" spans="1:7" s="160" customFormat="1" x14ac:dyDescent="0.35">
      <c r="A623" s="398"/>
      <c r="B623" s="399"/>
      <c r="C623" s="400"/>
      <c r="D623" s="409"/>
      <c r="E623" s="401"/>
      <c r="F623" s="411"/>
      <c r="G623" s="402">
        <f t="shared" ref="G623:G649" si="45">D623*F623</f>
        <v>0</v>
      </c>
    </row>
    <row r="624" spans="1:7" s="160" customFormat="1" ht="46.5" x14ac:dyDescent="0.35">
      <c r="A624" s="398"/>
      <c r="B624" s="399"/>
      <c r="C624" s="435" t="s">
        <v>901</v>
      </c>
      <c r="D624" s="442">
        <v>6</v>
      </c>
      <c r="E624" s="440" t="s">
        <v>761</v>
      </c>
      <c r="F624" s="438"/>
      <c r="G624" s="439">
        <f t="shared" si="45"/>
        <v>0</v>
      </c>
    </row>
    <row r="625" spans="1:7" s="160" customFormat="1" x14ac:dyDescent="0.35">
      <c r="A625" s="398"/>
      <c r="B625" s="399"/>
      <c r="C625" s="435"/>
      <c r="D625" s="436"/>
      <c r="E625" s="440"/>
      <c r="F625" s="438"/>
      <c r="G625" s="439">
        <f t="shared" si="45"/>
        <v>0</v>
      </c>
    </row>
    <row r="626" spans="1:7" s="160" customFormat="1" ht="46.5" x14ac:dyDescent="0.35">
      <c r="A626" s="398"/>
      <c r="B626" s="399"/>
      <c r="C626" s="435" t="s">
        <v>872</v>
      </c>
      <c r="D626" s="442">
        <v>6</v>
      </c>
      <c r="E626" s="440" t="s">
        <v>761</v>
      </c>
      <c r="F626" s="438"/>
      <c r="G626" s="439">
        <f t="shared" si="45"/>
        <v>0</v>
      </c>
    </row>
    <row r="627" spans="1:7" s="160" customFormat="1" x14ac:dyDescent="0.35">
      <c r="A627" s="398"/>
      <c r="B627" s="399"/>
      <c r="C627" s="435"/>
      <c r="D627" s="436"/>
      <c r="E627" s="440"/>
      <c r="F627" s="438"/>
      <c r="G627" s="439">
        <f t="shared" si="45"/>
        <v>0</v>
      </c>
    </row>
    <row r="628" spans="1:7" s="160" customFormat="1" ht="46.5" x14ac:dyDescent="0.35">
      <c r="A628" s="398"/>
      <c r="B628" s="399"/>
      <c r="C628" s="435" t="s">
        <v>873</v>
      </c>
      <c r="D628" s="442">
        <v>6</v>
      </c>
      <c r="E628" s="440" t="s">
        <v>761</v>
      </c>
      <c r="F628" s="438"/>
      <c r="G628" s="439">
        <f t="shared" si="45"/>
        <v>0</v>
      </c>
    </row>
    <row r="629" spans="1:7" s="160" customFormat="1" x14ac:dyDescent="0.35">
      <c r="A629" s="398"/>
      <c r="B629" s="399"/>
      <c r="C629" s="435"/>
      <c r="D629" s="436"/>
      <c r="E629" s="440"/>
      <c r="F629" s="438"/>
      <c r="G629" s="439">
        <f t="shared" si="45"/>
        <v>0</v>
      </c>
    </row>
    <row r="630" spans="1:7" s="160" customFormat="1" ht="93" x14ac:dyDescent="0.35">
      <c r="A630" s="398"/>
      <c r="B630" s="399"/>
      <c r="C630" s="400" t="s">
        <v>876</v>
      </c>
      <c r="D630" s="409">
        <v>6</v>
      </c>
      <c r="E630" s="401" t="s">
        <v>761</v>
      </c>
      <c r="F630" s="411"/>
      <c r="G630" s="402">
        <f t="shared" si="45"/>
        <v>0</v>
      </c>
    </row>
    <row r="631" spans="1:7" s="160" customFormat="1" x14ac:dyDescent="0.35">
      <c r="A631" s="398"/>
      <c r="B631" s="399"/>
      <c r="C631" s="435"/>
      <c r="D631" s="436"/>
      <c r="E631" s="440"/>
      <c r="F631" s="438"/>
      <c r="G631" s="439">
        <f t="shared" si="45"/>
        <v>0</v>
      </c>
    </row>
    <row r="632" spans="1:7" s="160" customFormat="1" ht="46.5" x14ac:dyDescent="0.35">
      <c r="A632" s="398"/>
      <c r="B632" s="399"/>
      <c r="C632" s="400" t="s">
        <v>877</v>
      </c>
      <c r="D632" s="409">
        <v>6</v>
      </c>
      <c r="E632" s="401" t="s">
        <v>761</v>
      </c>
      <c r="F632" s="411"/>
      <c r="G632" s="402">
        <f t="shared" si="45"/>
        <v>0</v>
      </c>
    </row>
    <row r="633" spans="1:7" s="160" customFormat="1" x14ac:dyDescent="0.35">
      <c r="A633" s="398"/>
      <c r="B633" s="399"/>
      <c r="C633" s="400"/>
      <c r="D633" s="409"/>
      <c r="E633" s="401"/>
      <c r="F633" s="411"/>
      <c r="G633" s="402">
        <f t="shared" si="45"/>
        <v>0</v>
      </c>
    </row>
    <row r="634" spans="1:7" s="160" customFormat="1" x14ac:dyDescent="0.35">
      <c r="A634" s="398"/>
      <c r="B634" s="399"/>
      <c r="C634" s="400" t="s">
        <v>878</v>
      </c>
      <c r="D634" s="409">
        <v>6</v>
      </c>
      <c r="E634" s="401" t="s">
        <v>761</v>
      </c>
      <c r="F634" s="411"/>
      <c r="G634" s="402">
        <f t="shared" si="45"/>
        <v>0</v>
      </c>
    </row>
    <row r="635" spans="1:7" s="160" customFormat="1" x14ac:dyDescent="0.35">
      <c r="A635" s="398"/>
      <c r="B635" s="399"/>
      <c r="C635" s="400"/>
      <c r="D635" s="409"/>
      <c r="E635" s="401"/>
      <c r="F635" s="411"/>
      <c r="G635" s="402">
        <f t="shared" si="45"/>
        <v>0</v>
      </c>
    </row>
    <row r="636" spans="1:7" s="160" customFormat="1" ht="46.5" x14ac:dyDescent="0.35">
      <c r="A636" s="398"/>
      <c r="B636" s="399"/>
      <c r="C636" s="400" t="s">
        <v>879</v>
      </c>
      <c r="D636" s="409">
        <v>6</v>
      </c>
      <c r="E636" s="401" t="s">
        <v>761</v>
      </c>
      <c r="F636" s="411"/>
      <c r="G636" s="402">
        <f t="shared" si="45"/>
        <v>0</v>
      </c>
    </row>
    <row r="637" spans="1:7" s="160" customFormat="1" x14ac:dyDescent="0.35">
      <c r="A637" s="398"/>
      <c r="B637" s="399"/>
      <c r="C637" s="400"/>
      <c r="D637" s="409"/>
      <c r="E637" s="401"/>
      <c r="F637" s="411"/>
      <c r="G637" s="402">
        <f t="shared" si="45"/>
        <v>0</v>
      </c>
    </row>
    <row r="638" spans="1:7" s="160" customFormat="1" ht="46.5" x14ac:dyDescent="0.35">
      <c r="A638" s="398"/>
      <c r="B638" s="399"/>
      <c r="C638" s="400" t="s">
        <v>880</v>
      </c>
      <c r="D638" s="409">
        <v>6</v>
      </c>
      <c r="E638" s="401" t="s">
        <v>761</v>
      </c>
      <c r="F638" s="411"/>
      <c r="G638" s="402">
        <f t="shared" si="45"/>
        <v>0</v>
      </c>
    </row>
    <row r="639" spans="1:7" s="160" customFormat="1" x14ac:dyDescent="0.35">
      <c r="A639" s="398"/>
      <c r="B639" s="399"/>
      <c r="C639" s="400"/>
      <c r="D639" s="409"/>
      <c r="E639" s="401"/>
      <c r="F639" s="411"/>
      <c r="G639" s="402">
        <f t="shared" si="45"/>
        <v>0</v>
      </c>
    </row>
    <row r="640" spans="1:7" s="160" customFormat="1" ht="69.75" x14ac:dyDescent="0.35">
      <c r="A640" s="398"/>
      <c r="B640" s="399"/>
      <c r="C640" s="400" t="s">
        <v>881</v>
      </c>
      <c r="D640" s="409">
        <v>24</v>
      </c>
      <c r="E640" s="401" t="s">
        <v>761</v>
      </c>
      <c r="F640" s="411"/>
      <c r="G640" s="402">
        <f t="shared" si="45"/>
        <v>0</v>
      </c>
    </row>
    <row r="641" spans="1:7" s="160" customFormat="1" x14ac:dyDescent="0.35">
      <c r="A641" s="398"/>
      <c r="B641" s="399"/>
      <c r="C641" s="400"/>
      <c r="D641" s="409"/>
      <c r="E641" s="401"/>
      <c r="F641" s="411"/>
      <c r="G641" s="402">
        <f t="shared" si="45"/>
        <v>0</v>
      </c>
    </row>
    <row r="642" spans="1:7" s="160" customFormat="1" x14ac:dyDescent="0.35">
      <c r="A642" s="398"/>
      <c r="B642" s="399"/>
      <c r="C642" s="400"/>
      <c r="D642" s="409"/>
      <c r="E642" s="401"/>
      <c r="F642" s="411"/>
      <c r="G642" s="402">
        <f t="shared" si="45"/>
        <v>0</v>
      </c>
    </row>
    <row r="643" spans="1:7" s="160" customFormat="1" ht="93" x14ac:dyDescent="0.35">
      <c r="A643" s="398"/>
      <c r="B643" s="399"/>
      <c r="C643" s="400" t="s">
        <v>902</v>
      </c>
      <c r="D643" s="409">
        <v>6</v>
      </c>
      <c r="E643" s="401" t="s">
        <v>761</v>
      </c>
      <c r="F643" s="411"/>
      <c r="G643" s="402">
        <f t="shared" si="45"/>
        <v>0</v>
      </c>
    </row>
    <row r="644" spans="1:7" s="160" customFormat="1" x14ac:dyDescent="0.35">
      <c r="A644" s="398"/>
      <c r="B644" s="399"/>
      <c r="C644" s="400"/>
      <c r="D644" s="409"/>
      <c r="E644" s="401"/>
      <c r="F644" s="411"/>
      <c r="G644" s="402">
        <f t="shared" si="45"/>
        <v>0</v>
      </c>
    </row>
    <row r="645" spans="1:7" s="160" customFormat="1" x14ac:dyDescent="0.35">
      <c r="A645" s="398"/>
      <c r="B645" s="399"/>
      <c r="C645" s="400" t="s">
        <v>830</v>
      </c>
      <c r="D645" s="409">
        <v>1</v>
      </c>
      <c r="E645" s="401" t="s">
        <v>819</v>
      </c>
      <c r="F645" s="411"/>
      <c r="G645" s="402">
        <f t="shared" si="45"/>
        <v>0</v>
      </c>
    </row>
    <row r="646" spans="1:7" s="160" customFormat="1" x14ac:dyDescent="0.35">
      <c r="A646" s="398"/>
      <c r="B646" s="399"/>
      <c r="C646" s="400"/>
      <c r="D646" s="409"/>
      <c r="E646" s="401"/>
      <c r="F646" s="411"/>
      <c r="G646" s="402">
        <f t="shared" si="45"/>
        <v>0</v>
      </c>
    </row>
    <row r="647" spans="1:7" s="160" customFormat="1" ht="46.5" x14ac:dyDescent="0.35">
      <c r="A647" s="398"/>
      <c r="B647" s="399"/>
      <c r="C647" s="435" t="s">
        <v>870</v>
      </c>
      <c r="D647" s="442">
        <v>1</v>
      </c>
      <c r="E647" s="440" t="s">
        <v>756</v>
      </c>
      <c r="F647" s="438"/>
      <c r="G647" s="439">
        <f t="shared" si="45"/>
        <v>0</v>
      </c>
    </row>
    <row r="648" spans="1:7" s="160" customFormat="1" x14ac:dyDescent="0.35">
      <c r="A648" s="398"/>
      <c r="B648" s="399"/>
      <c r="C648" s="400"/>
      <c r="D648" s="409"/>
      <c r="E648" s="401"/>
      <c r="F648" s="411"/>
      <c r="G648" s="402">
        <f t="shared" si="45"/>
        <v>0</v>
      </c>
    </row>
    <row r="649" spans="1:7" s="160" customFormat="1" ht="24" thickBot="1" x14ac:dyDescent="0.4">
      <c r="A649" s="398"/>
      <c r="B649" s="399"/>
      <c r="C649" s="400"/>
      <c r="D649" s="409"/>
      <c r="E649" s="401"/>
      <c r="F649" s="411"/>
      <c r="G649" s="402">
        <f t="shared" si="45"/>
        <v>0</v>
      </c>
    </row>
    <row r="650" spans="1:7" s="160" customFormat="1" ht="24" thickBot="1" x14ac:dyDescent="0.4">
      <c r="A650" s="398"/>
      <c r="B650" s="399"/>
      <c r="C650" s="404" t="s">
        <v>760</v>
      </c>
      <c r="D650" s="409"/>
      <c r="E650" s="401"/>
      <c r="F650" s="411"/>
      <c r="G650" s="405">
        <f>SUM(G623:G649)</f>
        <v>0</v>
      </c>
    </row>
    <row r="651" spans="1:7" ht="18.75" customHeight="1" x14ac:dyDescent="0.35">
      <c r="A651" s="383"/>
      <c r="B651" s="384"/>
      <c r="C651" s="385"/>
      <c r="D651" s="386"/>
      <c r="E651" s="387"/>
      <c r="F651" s="410"/>
      <c r="G651" s="387"/>
    </row>
    <row r="652" spans="1:7" s="160" customFormat="1" x14ac:dyDescent="0.35">
      <c r="A652" s="388"/>
      <c r="B652" s="389"/>
      <c r="C652" s="390"/>
      <c r="D652" s="391"/>
      <c r="E652" s="391"/>
      <c r="F652" s="393" t="s">
        <v>2</v>
      </c>
      <c r="G652" s="393"/>
    </row>
    <row r="653" spans="1:7" s="160" customFormat="1" ht="24" thickBot="1" x14ac:dyDescent="0.4">
      <c r="A653" s="394"/>
      <c r="B653" s="395"/>
      <c r="C653" s="396" t="s">
        <v>753</v>
      </c>
      <c r="D653" s="397" t="s">
        <v>3</v>
      </c>
      <c r="E653" s="397" t="s">
        <v>1</v>
      </c>
      <c r="F653" s="397" t="s">
        <v>4</v>
      </c>
      <c r="G653" s="397" t="s">
        <v>5</v>
      </c>
    </row>
    <row r="654" spans="1:7" s="160" customFormat="1" ht="18" customHeight="1" x14ac:dyDescent="0.35">
      <c r="A654" s="398"/>
      <c r="B654" s="399"/>
      <c r="C654" s="400"/>
      <c r="D654" s="409"/>
      <c r="E654" s="401"/>
      <c r="F654" s="411"/>
      <c r="G654" s="402">
        <f t="shared" ref="G654:G655" si="46">ROUND(D654*F654,2)</f>
        <v>0</v>
      </c>
    </row>
    <row r="655" spans="1:7" s="160" customFormat="1" x14ac:dyDescent="0.35">
      <c r="A655" s="398"/>
      <c r="B655" s="399"/>
      <c r="C655" s="412" t="s">
        <v>882</v>
      </c>
      <c r="D655" s="409"/>
      <c r="E655" s="401"/>
      <c r="F655" s="411"/>
      <c r="G655" s="402">
        <f t="shared" si="46"/>
        <v>0</v>
      </c>
    </row>
    <row r="656" spans="1:7" s="160" customFormat="1" x14ac:dyDescent="0.35">
      <c r="A656" s="398"/>
      <c r="B656" s="399"/>
      <c r="C656" s="404"/>
      <c r="D656" s="409"/>
      <c r="E656" s="401"/>
      <c r="F656" s="411"/>
      <c r="G656" s="402"/>
    </row>
    <row r="657" spans="1:7" s="160" customFormat="1" x14ac:dyDescent="0.35">
      <c r="A657" s="398"/>
      <c r="B657" s="399"/>
      <c r="C657" s="404" t="s">
        <v>904</v>
      </c>
      <c r="D657" s="409"/>
      <c r="E657" s="401"/>
      <c r="F657" s="411"/>
      <c r="G657" s="402">
        <f>G25</f>
        <v>0</v>
      </c>
    </row>
    <row r="658" spans="1:7" s="160" customFormat="1" x14ac:dyDescent="0.35">
      <c r="A658" s="398"/>
      <c r="B658" s="399"/>
      <c r="C658" s="404"/>
      <c r="D658" s="409"/>
      <c r="E658" s="401"/>
      <c r="F658" s="411"/>
      <c r="G658" s="402"/>
    </row>
    <row r="659" spans="1:7" s="160" customFormat="1" x14ac:dyDescent="0.35">
      <c r="A659" s="398"/>
      <c r="B659" s="399"/>
      <c r="C659" s="404" t="s">
        <v>905</v>
      </c>
      <c r="D659" s="409"/>
      <c r="E659" s="401"/>
      <c r="F659" s="411"/>
      <c r="G659" s="402">
        <f>G49</f>
        <v>0</v>
      </c>
    </row>
    <row r="660" spans="1:7" s="160" customFormat="1" x14ac:dyDescent="0.35">
      <c r="A660" s="398"/>
      <c r="B660" s="399"/>
      <c r="C660" s="404"/>
      <c r="D660" s="409"/>
      <c r="E660" s="401"/>
      <c r="F660" s="411"/>
      <c r="G660" s="402"/>
    </row>
    <row r="661" spans="1:7" s="160" customFormat="1" x14ac:dyDescent="0.35">
      <c r="A661" s="398"/>
      <c r="B661" s="399"/>
      <c r="C661" s="404" t="s">
        <v>906</v>
      </c>
      <c r="D661" s="409"/>
      <c r="E661" s="401"/>
      <c r="F661" s="411"/>
      <c r="G661" s="402">
        <f>G75</f>
        <v>0</v>
      </c>
    </row>
    <row r="662" spans="1:7" s="160" customFormat="1" x14ac:dyDescent="0.35">
      <c r="A662" s="398"/>
      <c r="B662" s="399"/>
      <c r="C662" s="404"/>
      <c r="D662" s="409"/>
      <c r="E662" s="401"/>
      <c r="F662" s="411"/>
      <c r="G662" s="402"/>
    </row>
    <row r="663" spans="1:7" s="160" customFormat="1" x14ac:dyDescent="0.35">
      <c r="A663" s="398"/>
      <c r="B663" s="399"/>
      <c r="C663" s="404" t="s">
        <v>907</v>
      </c>
      <c r="D663" s="409"/>
      <c r="E663" s="401"/>
      <c r="F663" s="411"/>
      <c r="G663" s="402">
        <f>G100</f>
        <v>0</v>
      </c>
    </row>
    <row r="664" spans="1:7" s="160" customFormat="1" x14ac:dyDescent="0.35">
      <c r="A664" s="398"/>
      <c r="B664" s="399"/>
      <c r="C664" s="404"/>
      <c r="D664" s="409"/>
      <c r="E664" s="401"/>
      <c r="F664" s="411"/>
      <c r="G664" s="402"/>
    </row>
    <row r="665" spans="1:7" s="160" customFormat="1" x14ac:dyDescent="0.35">
      <c r="A665" s="398"/>
      <c r="B665" s="399"/>
      <c r="C665" s="404" t="s">
        <v>908</v>
      </c>
      <c r="D665" s="409"/>
      <c r="E665" s="401"/>
      <c r="F665" s="411"/>
      <c r="G665" s="402">
        <f>G129</f>
        <v>0</v>
      </c>
    </row>
    <row r="666" spans="1:7" s="160" customFormat="1" x14ac:dyDescent="0.35">
      <c r="A666" s="398"/>
      <c r="B666" s="399"/>
      <c r="C666" s="404"/>
      <c r="D666" s="409"/>
      <c r="E666" s="401"/>
      <c r="F666" s="411"/>
      <c r="G666" s="402"/>
    </row>
    <row r="667" spans="1:7" s="160" customFormat="1" x14ac:dyDescent="0.35">
      <c r="A667" s="398"/>
      <c r="B667" s="399"/>
      <c r="C667" s="404" t="s">
        <v>909</v>
      </c>
      <c r="D667" s="409"/>
      <c r="E667" s="401"/>
      <c r="F667" s="411"/>
      <c r="G667" s="402">
        <f>G156</f>
        <v>0</v>
      </c>
    </row>
    <row r="668" spans="1:7" s="160" customFormat="1" x14ac:dyDescent="0.35">
      <c r="A668" s="398"/>
      <c r="B668" s="399"/>
      <c r="C668" s="404"/>
      <c r="D668" s="409"/>
      <c r="E668" s="401"/>
      <c r="F668" s="411"/>
      <c r="G668" s="402"/>
    </row>
    <row r="669" spans="1:7" s="160" customFormat="1" x14ac:dyDescent="0.35">
      <c r="A669" s="398"/>
      <c r="B669" s="399"/>
      <c r="C669" s="404" t="s">
        <v>910</v>
      </c>
      <c r="D669" s="409"/>
      <c r="E669" s="401"/>
      <c r="F669" s="411"/>
      <c r="G669" s="402">
        <f>G177</f>
        <v>0</v>
      </c>
    </row>
    <row r="670" spans="1:7" s="160" customFormat="1" x14ac:dyDescent="0.35">
      <c r="A670" s="398"/>
      <c r="B670" s="399"/>
      <c r="C670" s="404"/>
      <c r="D670" s="409"/>
      <c r="E670" s="401"/>
      <c r="F670" s="411"/>
      <c r="G670" s="402"/>
    </row>
    <row r="671" spans="1:7" s="160" customFormat="1" x14ac:dyDescent="0.35">
      <c r="A671" s="398"/>
      <c r="B671" s="399"/>
      <c r="C671" s="404" t="s">
        <v>911</v>
      </c>
      <c r="D671" s="409"/>
      <c r="E671" s="401"/>
      <c r="F671" s="411"/>
      <c r="G671" s="402">
        <f>G203</f>
        <v>0</v>
      </c>
    </row>
    <row r="672" spans="1:7" s="160" customFormat="1" x14ac:dyDescent="0.35">
      <c r="A672" s="398"/>
      <c r="B672" s="399"/>
      <c r="C672" s="404"/>
      <c r="D672" s="409"/>
      <c r="E672" s="401"/>
      <c r="F672" s="411"/>
      <c r="G672" s="402"/>
    </row>
    <row r="673" spans="1:7" s="160" customFormat="1" x14ac:dyDescent="0.35">
      <c r="A673" s="398"/>
      <c r="B673" s="399"/>
      <c r="C673" s="404" t="s">
        <v>912</v>
      </c>
      <c r="D673" s="409"/>
      <c r="E673" s="401"/>
      <c r="F673" s="411"/>
      <c r="G673" s="402">
        <f>G241</f>
        <v>0</v>
      </c>
    </row>
    <row r="674" spans="1:7" s="160" customFormat="1" x14ac:dyDescent="0.35">
      <c r="A674" s="398"/>
      <c r="B674" s="399"/>
      <c r="C674" s="404"/>
      <c r="D674" s="409"/>
      <c r="E674" s="401"/>
      <c r="F674" s="411"/>
      <c r="G674" s="402"/>
    </row>
    <row r="675" spans="1:7" s="160" customFormat="1" x14ac:dyDescent="0.35">
      <c r="A675" s="398"/>
      <c r="B675" s="399"/>
      <c r="C675" s="404" t="s">
        <v>913</v>
      </c>
      <c r="D675" s="409"/>
      <c r="E675" s="401"/>
      <c r="F675" s="411"/>
      <c r="G675" s="402">
        <f>G274</f>
        <v>0</v>
      </c>
    </row>
    <row r="676" spans="1:7" s="160" customFormat="1" x14ac:dyDescent="0.35">
      <c r="A676" s="398"/>
      <c r="B676" s="399"/>
      <c r="C676" s="404"/>
      <c r="D676" s="409"/>
      <c r="E676" s="401"/>
      <c r="F676" s="411"/>
      <c r="G676" s="402"/>
    </row>
    <row r="677" spans="1:7" s="160" customFormat="1" x14ac:dyDescent="0.35">
      <c r="A677" s="398"/>
      <c r="B677" s="399"/>
      <c r="C677" s="404" t="s">
        <v>914</v>
      </c>
      <c r="D677" s="409"/>
      <c r="E677" s="401"/>
      <c r="F677" s="411"/>
      <c r="G677" s="402">
        <f>G325</f>
        <v>0</v>
      </c>
    </row>
    <row r="678" spans="1:7" s="160" customFormat="1" x14ac:dyDescent="0.35">
      <c r="A678" s="398"/>
      <c r="B678" s="399"/>
      <c r="C678" s="404"/>
      <c r="D678" s="409"/>
      <c r="E678" s="401"/>
      <c r="F678" s="411"/>
      <c r="G678" s="402"/>
    </row>
    <row r="679" spans="1:7" s="160" customFormat="1" x14ac:dyDescent="0.35">
      <c r="A679" s="398"/>
      <c r="B679" s="399"/>
      <c r="C679" s="404" t="s">
        <v>915</v>
      </c>
      <c r="D679" s="409"/>
      <c r="E679" s="401"/>
      <c r="F679" s="411"/>
      <c r="G679" s="402">
        <f>G371</f>
        <v>0</v>
      </c>
    </row>
    <row r="680" spans="1:7" s="160" customFormat="1" x14ac:dyDescent="0.35">
      <c r="A680" s="398"/>
      <c r="B680" s="399"/>
      <c r="C680" s="404"/>
      <c r="D680" s="409"/>
      <c r="E680" s="401"/>
      <c r="F680" s="411"/>
      <c r="G680" s="402"/>
    </row>
    <row r="681" spans="1:7" s="160" customFormat="1" x14ac:dyDescent="0.35">
      <c r="A681" s="398"/>
      <c r="B681" s="399"/>
      <c r="C681" s="404" t="s">
        <v>916</v>
      </c>
      <c r="D681" s="409"/>
      <c r="E681" s="401"/>
      <c r="F681" s="411"/>
      <c r="G681" s="402">
        <f>G408</f>
        <v>0</v>
      </c>
    </row>
    <row r="682" spans="1:7" s="160" customFormat="1" x14ac:dyDescent="0.35">
      <c r="A682" s="398"/>
      <c r="B682" s="399"/>
      <c r="C682" s="404"/>
      <c r="D682" s="409"/>
      <c r="E682" s="401"/>
      <c r="F682" s="411"/>
      <c r="G682" s="402"/>
    </row>
    <row r="683" spans="1:7" s="160" customFormat="1" x14ac:dyDescent="0.35">
      <c r="A683" s="398"/>
      <c r="B683" s="399"/>
      <c r="C683" s="404" t="s">
        <v>917</v>
      </c>
      <c r="D683" s="409"/>
      <c r="E683" s="401"/>
      <c r="F683" s="411"/>
      <c r="G683" s="402">
        <f>G435</f>
        <v>0</v>
      </c>
    </row>
    <row r="684" spans="1:7" s="160" customFormat="1" x14ac:dyDescent="0.35">
      <c r="A684" s="398"/>
      <c r="B684" s="399"/>
      <c r="C684" s="404"/>
      <c r="D684" s="409"/>
      <c r="E684" s="401"/>
      <c r="F684" s="411"/>
      <c r="G684" s="402"/>
    </row>
    <row r="685" spans="1:7" s="160" customFormat="1" x14ac:dyDescent="0.35">
      <c r="A685" s="398"/>
      <c r="B685" s="399"/>
      <c r="C685" s="404" t="s">
        <v>918</v>
      </c>
      <c r="D685" s="409"/>
      <c r="E685" s="401"/>
      <c r="F685" s="411"/>
      <c r="G685" s="402">
        <f>G461</f>
        <v>0</v>
      </c>
    </row>
    <row r="686" spans="1:7" s="160" customFormat="1" x14ac:dyDescent="0.35">
      <c r="A686" s="398"/>
      <c r="B686" s="399"/>
      <c r="C686" s="404"/>
      <c r="D686" s="409"/>
      <c r="E686" s="401"/>
      <c r="F686" s="411"/>
      <c r="G686" s="402"/>
    </row>
    <row r="687" spans="1:7" s="160" customFormat="1" x14ac:dyDescent="0.35">
      <c r="A687" s="398"/>
      <c r="B687" s="399"/>
      <c r="C687" s="404" t="s">
        <v>919</v>
      </c>
      <c r="D687" s="409"/>
      <c r="E687" s="401"/>
      <c r="F687" s="411"/>
      <c r="G687" s="402">
        <f>G494</f>
        <v>0</v>
      </c>
    </row>
    <row r="688" spans="1:7" s="160" customFormat="1" x14ac:dyDescent="0.35">
      <c r="A688" s="398"/>
      <c r="B688" s="399"/>
      <c r="C688" s="404"/>
      <c r="D688" s="409"/>
      <c r="E688" s="401"/>
      <c r="F688" s="411"/>
      <c r="G688" s="402"/>
    </row>
    <row r="689" spans="1:7" s="160" customFormat="1" x14ac:dyDescent="0.35">
      <c r="A689" s="398"/>
      <c r="B689" s="399"/>
      <c r="C689" s="404" t="s">
        <v>920</v>
      </c>
      <c r="D689" s="409"/>
      <c r="E689" s="401"/>
      <c r="F689" s="411"/>
      <c r="G689" s="402">
        <f>G528</f>
        <v>0</v>
      </c>
    </row>
    <row r="690" spans="1:7" s="160" customFormat="1" x14ac:dyDescent="0.35">
      <c r="A690" s="398"/>
      <c r="B690" s="399"/>
      <c r="C690" s="404"/>
      <c r="D690" s="409"/>
      <c r="E690" s="401"/>
      <c r="F690" s="411"/>
      <c r="G690" s="402"/>
    </row>
    <row r="691" spans="1:7" s="160" customFormat="1" x14ac:dyDescent="0.35">
      <c r="A691" s="398"/>
      <c r="B691" s="399"/>
      <c r="C691" s="404" t="s">
        <v>921</v>
      </c>
      <c r="D691" s="409"/>
      <c r="E691" s="401"/>
      <c r="F691" s="411"/>
      <c r="G691" s="402">
        <f>G601</f>
        <v>0</v>
      </c>
    </row>
    <row r="692" spans="1:7" s="160" customFormat="1" x14ac:dyDescent="0.35">
      <c r="A692" s="398"/>
      <c r="B692" s="399"/>
      <c r="C692" s="404"/>
      <c r="D692" s="409"/>
      <c r="E692" s="401"/>
      <c r="F692" s="411"/>
      <c r="G692" s="402"/>
    </row>
    <row r="693" spans="1:7" s="160" customFormat="1" x14ac:dyDescent="0.35">
      <c r="A693" s="398"/>
      <c r="B693" s="399"/>
      <c r="C693" s="404" t="s">
        <v>922</v>
      </c>
      <c r="D693" s="409"/>
      <c r="E693" s="401"/>
      <c r="F693" s="411"/>
      <c r="G693" s="402">
        <f>G650</f>
        <v>0</v>
      </c>
    </row>
    <row r="694" spans="1:7" s="160" customFormat="1" ht="24" thickBot="1" x14ac:dyDescent="0.4">
      <c r="A694" s="398"/>
      <c r="B694" s="399"/>
      <c r="C694" s="404"/>
      <c r="D694" s="409"/>
      <c r="E694" s="401"/>
      <c r="F694" s="411"/>
      <c r="G694" s="402"/>
    </row>
    <row r="695" spans="1:7" s="160" customFormat="1" ht="24" thickBot="1" x14ac:dyDescent="0.4">
      <c r="A695" s="398"/>
      <c r="B695" s="399"/>
      <c r="C695" s="415" t="s">
        <v>923</v>
      </c>
      <c r="D695" s="409"/>
      <c r="E695" s="401"/>
      <c r="F695" s="411"/>
      <c r="G695" s="405">
        <f>SUM(G656:G694)</f>
        <v>0</v>
      </c>
    </row>
    <row r="696" spans="1:7" s="160" customFormat="1" x14ac:dyDescent="0.35">
      <c r="A696" s="398"/>
      <c r="B696" s="399"/>
      <c r="C696" s="404"/>
      <c r="D696" s="409"/>
      <c r="E696" s="401"/>
      <c r="F696" s="411"/>
      <c r="G696" s="402"/>
    </row>
    <row r="697" spans="1:7" s="160" customFormat="1" x14ac:dyDescent="0.35">
      <c r="A697" s="398"/>
      <c r="B697" s="399"/>
      <c r="C697" s="404"/>
      <c r="D697" s="409"/>
      <c r="E697" s="401"/>
      <c r="F697" s="411"/>
      <c r="G697" s="402"/>
    </row>
  </sheetData>
  <pageMargins left="0.70866141732283472" right="0.70866141732283472" top="0.74803149606299213" bottom="0.74803149606299213" header="0.31496062992125984" footer="0.31496062992125984"/>
  <pageSetup paperSize="9" scale="59" orientation="portrait" useFirstPageNumber="1" r:id="rId1"/>
  <headerFooter>
    <oddHeader xml:space="preserve">&amp;L&amp;UΠΑΣΥΔΥ PLATRES APARTMENTS  
ΚΑΤΕΔΑΦΙΣΕΙΣ-ΜΕΤΑΤΡΟΠΕΣ
&amp;R
&amp;"-,Bold"&amp;14BLOCK 1&amp;"-,Regular"&amp;11
</oddHeader>
    <oddFooter>&amp;R2/&amp;P</oddFooter>
  </headerFooter>
  <rowBreaks count="19" manualBreakCount="19">
    <brk id="26" max="6" man="1"/>
    <brk id="50" max="6" man="1"/>
    <brk id="76" max="6" man="1"/>
    <brk id="102" max="6" man="1"/>
    <brk id="130" max="6" man="1"/>
    <brk id="157" max="6" man="1"/>
    <brk id="178" max="6" man="1"/>
    <brk id="204" max="6" man="1"/>
    <brk id="241" max="6" man="1"/>
    <brk id="278" max="6" man="1"/>
    <brk id="329" max="6" man="1"/>
    <brk id="377" max="6" man="1"/>
    <brk id="408" max="6" man="1"/>
    <brk id="461" max="6" man="1"/>
    <brk id="501" max="6" man="1"/>
    <brk id="529" max="6" man="1"/>
    <brk id="571" max="6" man="1"/>
    <brk id="617" max="6" man="1"/>
    <brk id="65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6F78-E8F3-40A6-A402-22C150C3BABF}">
  <sheetPr>
    <tabColor rgb="FFFFFF00"/>
  </sheetPr>
  <dimension ref="A1:G697"/>
  <sheetViews>
    <sheetView showZeros="0" view="pageBreakPreview" topLeftCell="A646" zoomScale="50" zoomScaleNormal="100" zoomScaleSheetLayoutView="50" workbookViewId="0">
      <selection activeCell="F139" sqref="F139:F141"/>
    </sheetView>
  </sheetViews>
  <sheetFormatPr defaultColWidth="8.85546875" defaultRowHeight="23.25" x14ac:dyDescent="0.35"/>
  <cols>
    <col min="1" max="1" width="3.42578125" style="406" customWidth="1"/>
    <col min="2" max="2" width="0.85546875" style="407" customWidth="1"/>
    <col min="3" max="3" width="61.5703125" style="408" customWidth="1"/>
    <col min="4" max="4" width="17.140625" style="393" customWidth="1"/>
    <col min="5" max="5" width="14.85546875" style="392" customWidth="1"/>
    <col min="6" max="6" width="20.7109375" style="393" customWidth="1"/>
    <col min="7" max="7" width="19.140625" style="392" customWidth="1"/>
    <col min="8" max="8" width="4" style="158" customWidth="1"/>
    <col min="9" max="16384" width="8.85546875" style="158"/>
  </cols>
  <sheetData>
    <row r="1" spans="1:7" x14ac:dyDescent="0.35">
      <c r="A1" s="383"/>
      <c r="B1" s="384"/>
      <c r="C1" s="385"/>
      <c r="D1" s="386"/>
      <c r="E1" s="387"/>
      <c r="F1" s="410"/>
      <c r="G1" s="387"/>
    </row>
    <row r="2" spans="1:7" s="160" customFormat="1" x14ac:dyDescent="0.35">
      <c r="A2" s="388"/>
      <c r="B2" s="389"/>
      <c r="C2" s="390"/>
      <c r="D2" s="391"/>
      <c r="E2" s="391"/>
      <c r="F2" s="393" t="s">
        <v>2</v>
      </c>
      <c r="G2" s="393"/>
    </row>
    <row r="3" spans="1:7" s="160" customFormat="1" ht="24" thickBot="1" x14ac:dyDescent="0.4">
      <c r="A3" s="394"/>
      <c r="B3" s="395"/>
      <c r="C3" s="396" t="s">
        <v>753</v>
      </c>
      <c r="D3" s="397" t="s">
        <v>3</v>
      </c>
      <c r="E3" s="397" t="s">
        <v>1</v>
      </c>
      <c r="F3" s="397" t="s">
        <v>4</v>
      </c>
      <c r="G3" s="397" t="s">
        <v>5</v>
      </c>
    </row>
    <row r="4" spans="1:7" s="160" customFormat="1" ht="14.25" customHeight="1" x14ac:dyDescent="0.35">
      <c r="A4" s="398"/>
      <c r="B4" s="399"/>
      <c r="C4" s="400"/>
      <c r="D4" s="409"/>
      <c r="E4" s="401"/>
      <c r="F4" s="411"/>
      <c r="G4" s="402">
        <f>ROUND(D4*F4,2)</f>
        <v>0</v>
      </c>
    </row>
    <row r="5" spans="1:7" s="160" customFormat="1" ht="46.5" x14ac:dyDescent="0.35">
      <c r="A5" s="398"/>
      <c r="B5" s="399"/>
      <c r="C5" s="403" t="s">
        <v>783</v>
      </c>
      <c r="D5" s="409"/>
      <c r="E5" s="401"/>
      <c r="F5" s="411"/>
      <c r="G5" s="402">
        <f>ROUND(D5*F5,2)</f>
        <v>0</v>
      </c>
    </row>
    <row r="6" spans="1:7" s="160" customFormat="1" ht="15.75" customHeight="1" x14ac:dyDescent="0.35">
      <c r="A6" s="398"/>
      <c r="B6" s="399"/>
      <c r="C6" s="403"/>
      <c r="D6" s="409"/>
      <c r="E6" s="401"/>
      <c r="F6" s="411"/>
      <c r="G6" s="402"/>
    </row>
    <row r="7" spans="1:7" s="160" customFormat="1" ht="116.25" x14ac:dyDescent="0.35">
      <c r="A7" s="398"/>
      <c r="B7" s="399"/>
      <c r="C7" s="403" t="s">
        <v>785</v>
      </c>
      <c r="D7" s="409"/>
      <c r="E7" s="401"/>
      <c r="F7" s="411"/>
      <c r="G7" s="402"/>
    </row>
    <row r="8" spans="1:7" s="160" customFormat="1" ht="18.75" customHeight="1" x14ac:dyDescent="0.35">
      <c r="A8" s="398"/>
      <c r="B8" s="399"/>
      <c r="C8" s="400"/>
      <c r="D8" s="409"/>
      <c r="E8" s="401"/>
      <c r="F8" s="411"/>
      <c r="G8" s="402">
        <f>ROUND(D8*F8,2)</f>
        <v>0</v>
      </c>
    </row>
    <row r="9" spans="1:7" s="160" customFormat="1" ht="46.5" x14ac:dyDescent="0.35">
      <c r="A9" s="398"/>
      <c r="B9" s="399"/>
      <c r="C9" s="400" t="s">
        <v>767</v>
      </c>
      <c r="D9" s="409">
        <v>1</v>
      </c>
      <c r="E9" s="401" t="s">
        <v>756</v>
      </c>
      <c r="F9" s="411"/>
      <c r="G9" s="402">
        <f>D9*F9</f>
        <v>0</v>
      </c>
    </row>
    <row r="10" spans="1:7" s="160" customFormat="1" ht="18" customHeight="1" x14ac:dyDescent="0.35">
      <c r="A10" s="398"/>
      <c r="B10" s="399"/>
      <c r="C10" s="400"/>
      <c r="D10" s="409"/>
      <c r="E10" s="401"/>
      <c r="F10" s="411"/>
      <c r="G10" s="402">
        <f>ROUND(D10*F10,2)</f>
        <v>0</v>
      </c>
    </row>
    <row r="11" spans="1:7" s="160" customFormat="1" ht="81.75" customHeight="1" x14ac:dyDescent="0.35">
      <c r="A11" s="398"/>
      <c r="B11" s="399"/>
      <c r="C11" s="400" t="s">
        <v>768</v>
      </c>
      <c r="D11" s="409">
        <v>1</v>
      </c>
      <c r="E11" s="401" t="s">
        <v>756</v>
      </c>
      <c r="F11" s="411"/>
      <c r="G11" s="402">
        <f>D11*F11</f>
        <v>0</v>
      </c>
    </row>
    <row r="12" spans="1:7" s="160" customFormat="1" ht="14.25" customHeight="1" x14ac:dyDescent="0.35">
      <c r="A12" s="398"/>
      <c r="B12" s="399"/>
      <c r="C12" s="400"/>
      <c r="D12" s="409"/>
      <c r="E12" s="401"/>
      <c r="F12" s="411"/>
      <c r="G12" s="402">
        <f>ROUND(D12*F12,2)</f>
        <v>0</v>
      </c>
    </row>
    <row r="13" spans="1:7" s="160" customFormat="1" ht="139.5" x14ac:dyDescent="0.35">
      <c r="A13" s="398"/>
      <c r="B13" s="399"/>
      <c r="C13" s="400" t="s">
        <v>763</v>
      </c>
      <c r="D13" s="409">
        <v>72</v>
      </c>
      <c r="E13" s="401" t="s">
        <v>26</v>
      </c>
      <c r="F13" s="411"/>
      <c r="G13" s="402">
        <f>D13*F13</f>
        <v>0</v>
      </c>
    </row>
    <row r="14" spans="1:7" s="160" customFormat="1" ht="18.75" customHeight="1" x14ac:dyDescent="0.35">
      <c r="A14" s="398"/>
      <c r="B14" s="399"/>
      <c r="C14" s="400"/>
      <c r="D14" s="409"/>
      <c r="E14" s="401"/>
      <c r="F14" s="411"/>
      <c r="G14" s="402">
        <f>ROUND(D14*F14,2)</f>
        <v>0</v>
      </c>
    </row>
    <row r="15" spans="1:7" s="160" customFormat="1" ht="123" customHeight="1" x14ac:dyDescent="0.35">
      <c r="A15" s="398"/>
      <c r="B15" s="399"/>
      <c r="C15" s="400" t="s">
        <v>754</v>
      </c>
      <c r="D15" s="409">
        <v>72</v>
      </c>
      <c r="E15" s="401" t="s">
        <v>26</v>
      </c>
      <c r="F15" s="411"/>
      <c r="G15" s="402">
        <f>D15*F15</f>
        <v>0</v>
      </c>
    </row>
    <row r="16" spans="1:7" s="160" customFormat="1" ht="17.25" customHeight="1" x14ac:dyDescent="0.35">
      <c r="A16" s="398"/>
      <c r="B16" s="399"/>
      <c r="C16" s="400"/>
      <c r="D16" s="409"/>
      <c r="E16" s="401"/>
      <c r="F16" s="411"/>
      <c r="G16" s="402">
        <f>ROUND(D16*F16,2)</f>
        <v>0</v>
      </c>
    </row>
    <row r="17" spans="1:7" s="160" customFormat="1" ht="46.5" x14ac:dyDescent="0.35">
      <c r="A17" s="398"/>
      <c r="B17" s="399"/>
      <c r="C17" s="400" t="s">
        <v>755</v>
      </c>
      <c r="D17" s="409">
        <v>12</v>
      </c>
      <c r="E17" s="414" t="s">
        <v>883</v>
      </c>
      <c r="F17" s="411"/>
      <c r="G17" s="402">
        <f>D17*F17</f>
        <v>0</v>
      </c>
    </row>
    <row r="18" spans="1:7" s="160" customFormat="1" ht="17.25" customHeight="1" x14ac:dyDescent="0.35">
      <c r="A18" s="398"/>
      <c r="B18" s="399"/>
      <c r="C18" s="400"/>
      <c r="D18" s="409"/>
      <c r="E18" s="401"/>
      <c r="F18" s="411"/>
      <c r="G18" s="402">
        <f>ROUND(D18*F18,2)</f>
        <v>0</v>
      </c>
    </row>
    <row r="19" spans="1:7" s="160" customFormat="1" ht="46.5" x14ac:dyDescent="0.35">
      <c r="A19" s="398"/>
      <c r="B19" s="399"/>
      <c r="C19" s="400" t="s">
        <v>757</v>
      </c>
      <c r="D19" s="409">
        <v>6</v>
      </c>
      <c r="E19" s="414" t="s">
        <v>884</v>
      </c>
      <c r="F19" s="411"/>
      <c r="G19" s="402">
        <f>D19*F19</f>
        <v>0</v>
      </c>
    </row>
    <row r="20" spans="1:7" s="160" customFormat="1" ht="16.5" customHeight="1" x14ac:dyDescent="0.35">
      <c r="A20" s="398"/>
      <c r="B20" s="399"/>
      <c r="C20" s="400"/>
      <c r="D20" s="409"/>
      <c r="E20" s="401"/>
      <c r="F20" s="411"/>
      <c r="G20" s="402">
        <f>ROUND(D20*F20,2)</f>
        <v>0</v>
      </c>
    </row>
    <row r="21" spans="1:7" s="160" customFormat="1" ht="116.25" x14ac:dyDescent="0.35">
      <c r="A21" s="398"/>
      <c r="B21" s="399"/>
      <c r="C21" s="400" t="s">
        <v>758</v>
      </c>
      <c r="D21" s="409">
        <v>85</v>
      </c>
      <c r="E21" s="401" t="s">
        <v>26</v>
      </c>
      <c r="F21" s="411"/>
      <c r="G21" s="402">
        <f>D21*F21</f>
        <v>0</v>
      </c>
    </row>
    <row r="22" spans="1:7" s="160" customFormat="1" ht="18.75" customHeight="1" x14ac:dyDescent="0.35">
      <c r="A22" s="398"/>
      <c r="B22" s="399"/>
      <c r="C22" s="400"/>
      <c r="D22" s="409"/>
      <c r="E22" s="401"/>
      <c r="F22" s="411"/>
      <c r="G22" s="402">
        <f>ROUND(D22*F22,2)</f>
        <v>0</v>
      </c>
    </row>
    <row r="23" spans="1:7" s="160" customFormat="1" ht="116.25" x14ac:dyDescent="0.35">
      <c r="A23" s="398"/>
      <c r="B23" s="399"/>
      <c r="C23" s="400" t="s">
        <v>759</v>
      </c>
      <c r="D23" s="409">
        <v>48</v>
      </c>
      <c r="E23" s="401" t="s">
        <v>761</v>
      </c>
      <c r="F23" s="411"/>
      <c r="G23" s="402">
        <f>D23*F23</f>
        <v>0</v>
      </c>
    </row>
    <row r="24" spans="1:7" s="160" customFormat="1" ht="24" thickBot="1" x14ac:dyDescent="0.4">
      <c r="A24" s="398"/>
      <c r="B24" s="399"/>
      <c r="C24" s="400"/>
      <c r="D24" s="409"/>
      <c r="E24" s="401"/>
      <c r="F24" s="411"/>
      <c r="G24" s="402">
        <f>ROUND(D24*F24,2)</f>
        <v>0</v>
      </c>
    </row>
    <row r="25" spans="1:7" s="160" customFormat="1" ht="24" thickBot="1" x14ac:dyDescent="0.4">
      <c r="A25" s="398"/>
      <c r="B25" s="399"/>
      <c r="C25" s="404" t="s">
        <v>760</v>
      </c>
      <c r="D25" s="409"/>
      <c r="E25" s="401"/>
      <c r="F25" s="411"/>
      <c r="G25" s="405">
        <f>SUM(G7:G24)</f>
        <v>0</v>
      </c>
    </row>
    <row r="26" spans="1:7" s="160" customFormat="1" ht="24" thickBot="1" x14ac:dyDescent="0.4">
      <c r="A26" s="398"/>
      <c r="B26" s="399"/>
      <c r="C26" s="400"/>
      <c r="D26" s="409"/>
      <c r="E26" s="401"/>
      <c r="F26" s="411"/>
      <c r="G26" s="402">
        <f>ROUND(D26*F26,2)</f>
        <v>0</v>
      </c>
    </row>
    <row r="27" spans="1:7" x14ac:dyDescent="0.35">
      <c r="A27" s="383"/>
      <c r="B27" s="384"/>
      <c r="C27" s="385"/>
      <c r="D27" s="386"/>
      <c r="E27" s="387"/>
      <c r="F27" s="410"/>
      <c r="G27" s="387"/>
    </row>
    <row r="28" spans="1:7" s="160" customFormat="1" x14ac:dyDescent="0.35">
      <c r="A28" s="388"/>
      <c r="B28" s="389"/>
      <c r="C28" s="390"/>
      <c r="D28" s="391"/>
      <c r="E28" s="391"/>
      <c r="F28" s="393" t="s">
        <v>2</v>
      </c>
      <c r="G28" s="393"/>
    </row>
    <row r="29" spans="1:7" s="160" customFormat="1" ht="24" thickBot="1" x14ac:dyDescent="0.4">
      <c r="A29" s="394"/>
      <c r="B29" s="395"/>
      <c r="C29" s="396" t="s">
        <v>753</v>
      </c>
      <c r="D29" s="397" t="s">
        <v>3</v>
      </c>
      <c r="E29" s="397" t="s">
        <v>1</v>
      </c>
      <c r="F29" s="397" t="s">
        <v>4</v>
      </c>
      <c r="G29" s="397" t="s">
        <v>5</v>
      </c>
    </row>
    <row r="30" spans="1:7" s="160" customFormat="1" x14ac:dyDescent="0.35">
      <c r="A30" s="398"/>
      <c r="B30" s="399"/>
      <c r="C30" s="400"/>
      <c r="D30" s="409"/>
      <c r="E30" s="401"/>
      <c r="F30" s="411"/>
      <c r="G30" s="402">
        <f>ROUND(D30*F30,2)</f>
        <v>0</v>
      </c>
    </row>
    <row r="31" spans="1:7" s="160" customFormat="1" ht="46.5" x14ac:dyDescent="0.35">
      <c r="A31" s="398"/>
      <c r="B31" s="399"/>
      <c r="C31" s="403" t="s">
        <v>784</v>
      </c>
      <c r="D31" s="409"/>
      <c r="E31" s="401"/>
      <c r="F31" s="411"/>
      <c r="G31" s="402">
        <f>ROUND(D31*F31,2)</f>
        <v>0</v>
      </c>
    </row>
    <row r="32" spans="1:7" s="160" customFormat="1" x14ac:dyDescent="0.35">
      <c r="A32" s="398"/>
      <c r="B32" s="399"/>
      <c r="C32" s="400"/>
      <c r="D32" s="409"/>
      <c r="E32" s="401"/>
      <c r="F32" s="411"/>
      <c r="G32" s="402">
        <f>ROUND(D32*F32,2)</f>
        <v>0</v>
      </c>
    </row>
    <row r="33" spans="1:7" s="160" customFormat="1" ht="116.25" x14ac:dyDescent="0.35">
      <c r="A33" s="398"/>
      <c r="B33" s="399"/>
      <c r="C33" s="400" t="s">
        <v>769</v>
      </c>
      <c r="D33" s="409">
        <v>42</v>
      </c>
      <c r="E33" s="401" t="s">
        <v>761</v>
      </c>
      <c r="F33" s="411"/>
      <c r="G33" s="402">
        <f>D33*F33</f>
        <v>0</v>
      </c>
    </row>
    <row r="34" spans="1:7" s="160" customFormat="1" x14ac:dyDescent="0.35">
      <c r="A34" s="398"/>
      <c r="B34" s="399"/>
      <c r="C34" s="400"/>
      <c r="D34" s="409"/>
      <c r="E34" s="401"/>
      <c r="F34" s="411"/>
      <c r="G34" s="402">
        <f>ROUND(D34*F34,2)</f>
        <v>0</v>
      </c>
    </row>
    <row r="35" spans="1:7" s="160" customFormat="1" ht="116.25" x14ac:dyDescent="0.35">
      <c r="A35" s="398"/>
      <c r="B35" s="399"/>
      <c r="C35" s="400" t="s">
        <v>762</v>
      </c>
      <c r="D35" s="409">
        <v>42</v>
      </c>
      <c r="E35" s="401" t="s">
        <v>761</v>
      </c>
      <c r="F35" s="411"/>
      <c r="G35" s="402">
        <f>D35*F35</f>
        <v>0</v>
      </c>
    </row>
    <row r="36" spans="1:7" s="160" customFormat="1" x14ac:dyDescent="0.35">
      <c r="A36" s="398"/>
      <c r="B36" s="399"/>
      <c r="C36" s="400"/>
      <c r="D36" s="409"/>
      <c r="E36" s="401"/>
      <c r="F36" s="411"/>
      <c r="G36" s="402">
        <f>ROUND(D36*F36,2)</f>
        <v>0</v>
      </c>
    </row>
    <row r="37" spans="1:7" s="160" customFormat="1" ht="46.5" x14ac:dyDescent="0.35">
      <c r="A37" s="398"/>
      <c r="B37" s="399"/>
      <c r="C37" s="400" t="s">
        <v>764</v>
      </c>
      <c r="D37" s="409">
        <v>12</v>
      </c>
      <c r="E37" s="401" t="s">
        <v>761</v>
      </c>
      <c r="F37" s="411"/>
      <c r="G37" s="402">
        <f>D37*F37</f>
        <v>0</v>
      </c>
    </row>
    <row r="38" spans="1:7" s="160" customFormat="1" x14ac:dyDescent="0.35">
      <c r="A38" s="398"/>
      <c r="B38" s="399"/>
      <c r="C38" s="400"/>
      <c r="D38" s="409"/>
      <c r="E38" s="401"/>
      <c r="F38" s="411"/>
      <c r="G38" s="402">
        <f>ROUND(D38*F38,2)</f>
        <v>0</v>
      </c>
    </row>
    <row r="39" spans="1:7" s="160" customFormat="1" ht="46.5" x14ac:dyDescent="0.35">
      <c r="A39" s="398"/>
      <c r="B39" s="399"/>
      <c r="C39" s="400" t="s">
        <v>765</v>
      </c>
      <c r="D39" s="409">
        <v>12</v>
      </c>
      <c r="E39" s="401" t="s">
        <v>761</v>
      </c>
      <c r="F39" s="411"/>
      <c r="G39" s="402">
        <f>D39*F39</f>
        <v>0</v>
      </c>
    </row>
    <row r="40" spans="1:7" s="160" customFormat="1" x14ac:dyDescent="0.35">
      <c r="A40" s="398"/>
      <c r="B40" s="399"/>
      <c r="C40" s="400"/>
      <c r="D40" s="409"/>
      <c r="E40" s="401"/>
      <c r="F40" s="411"/>
      <c r="G40" s="402">
        <f>ROUND(D40*F40,2)</f>
        <v>0</v>
      </c>
    </row>
    <row r="41" spans="1:7" s="160" customFormat="1" ht="46.5" x14ac:dyDescent="0.35">
      <c r="A41" s="398"/>
      <c r="B41" s="399"/>
      <c r="C41" s="400" t="s">
        <v>770</v>
      </c>
      <c r="D41" s="409">
        <v>6</v>
      </c>
      <c r="E41" s="401" t="s">
        <v>761</v>
      </c>
      <c r="F41" s="411"/>
      <c r="G41" s="402">
        <f>D41*F41</f>
        <v>0</v>
      </c>
    </row>
    <row r="42" spans="1:7" s="160" customFormat="1" x14ac:dyDescent="0.35">
      <c r="A42" s="398"/>
      <c r="B42" s="399"/>
      <c r="C42" s="400"/>
      <c r="D42" s="409"/>
      <c r="E42" s="401"/>
      <c r="F42" s="411"/>
      <c r="G42" s="402">
        <f>ROUND(D42*F42,2)</f>
        <v>0</v>
      </c>
    </row>
    <row r="43" spans="1:7" s="160" customFormat="1" ht="186" x14ac:dyDescent="0.35">
      <c r="A43" s="398"/>
      <c r="B43" s="399"/>
      <c r="C43" s="400" t="s">
        <v>766</v>
      </c>
      <c r="D43" s="409">
        <v>6</v>
      </c>
      <c r="E43" s="401" t="s">
        <v>761</v>
      </c>
      <c r="F43" s="411"/>
      <c r="G43" s="402">
        <f>D43*F43</f>
        <v>0</v>
      </c>
    </row>
    <row r="44" spans="1:7" s="160" customFormat="1" x14ac:dyDescent="0.35">
      <c r="A44" s="398"/>
      <c r="B44" s="399"/>
      <c r="C44" s="400"/>
      <c r="D44" s="409"/>
      <c r="E44" s="401"/>
      <c r="F44" s="411"/>
      <c r="G44" s="402">
        <f>ROUND(D44*F44,2)</f>
        <v>0</v>
      </c>
    </row>
    <row r="45" spans="1:7" s="160" customFormat="1" ht="69.75" x14ac:dyDescent="0.35">
      <c r="A45" s="398"/>
      <c r="B45" s="399"/>
      <c r="C45" s="400" t="s">
        <v>771</v>
      </c>
      <c r="D45" s="409">
        <v>34</v>
      </c>
      <c r="E45" s="401" t="s">
        <v>772</v>
      </c>
      <c r="F45" s="411"/>
      <c r="G45" s="402">
        <f>D45*F45</f>
        <v>0</v>
      </c>
    </row>
    <row r="46" spans="1:7" s="160" customFormat="1" x14ac:dyDescent="0.35">
      <c r="A46" s="398"/>
      <c r="B46" s="399"/>
      <c r="C46" s="400"/>
      <c r="D46" s="409"/>
      <c r="E46" s="401"/>
      <c r="F46" s="411"/>
      <c r="G46" s="402">
        <f>ROUND(D46*F46,2)</f>
        <v>0</v>
      </c>
    </row>
    <row r="47" spans="1:7" s="160" customFormat="1" ht="93" x14ac:dyDescent="0.35">
      <c r="A47" s="398"/>
      <c r="B47" s="399"/>
      <c r="C47" s="400" t="s">
        <v>773</v>
      </c>
      <c r="D47" s="409">
        <v>382</v>
      </c>
      <c r="E47" s="401" t="s">
        <v>772</v>
      </c>
      <c r="F47" s="411"/>
      <c r="G47" s="402">
        <f>D47*F47</f>
        <v>0</v>
      </c>
    </row>
    <row r="48" spans="1:7" s="160" customFormat="1" ht="24" thickBot="1" x14ac:dyDescent="0.4">
      <c r="A48" s="398"/>
      <c r="B48" s="399"/>
      <c r="C48" s="400"/>
      <c r="D48" s="409"/>
      <c r="E48" s="401"/>
      <c r="F48" s="411"/>
      <c r="G48" s="402">
        <f>ROUND(D48*F48,2)</f>
        <v>0</v>
      </c>
    </row>
    <row r="49" spans="1:7" s="160" customFormat="1" ht="24" thickBot="1" x14ac:dyDescent="0.4">
      <c r="A49" s="398"/>
      <c r="B49" s="399"/>
      <c r="C49" s="404" t="s">
        <v>760</v>
      </c>
      <c r="D49" s="409"/>
      <c r="E49" s="401"/>
      <c r="F49" s="411"/>
      <c r="G49" s="405">
        <f>SUM(G33:G48)</f>
        <v>0</v>
      </c>
    </row>
    <row r="50" spans="1:7" s="160" customFormat="1" ht="24" thickBot="1" x14ac:dyDescent="0.4">
      <c r="A50" s="398"/>
      <c r="B50" s="399"/>
      <c r="C50" s="400"/>
      <c r="D50" s="409"/>
      <c r="E50" s="401"/>
      <c r="F50" s="411"/>
      <c r="G50" s="402">
        <f>ROUND(D50*F50,2)</f>
        <v>0</v>
      </c>
    </row>
    <row r="51" spans="1:7" x14ac:dyDescent="0.35">
      <c r="A51" s="383"/>
      <c r="B51" s="384"/>
      <c r="C51" s="385"/>
      <c r="D51" s="386"/>
      <c r="E51" s="387"/>
      <c r="F51" s="410"/>
      <c r="G51" s="387"/>
    </row>
    <row r="52" spans="1:7" s="160" customFormat="1" x14ac:dyDescent="0.35">
      <c r="A52" s="388"/>
      <c r="B52" s="389"/>
      <c r="C52" s="390"/>
      <c r="D52" s="391"/>
      <c r="E52" s="391"/>
      <c r="F52" s="393" t="s">
        <v>2</v>
      </c>
      <c r="G52" s="393"/>
    </row>
    <row r="53" spans="1:7" s="160" customFormat="1" ht="24" thickBot="1" x14ac:dyDescent="0.4">
      <c r="A53" s="394"/>
      <c r="B53" s="395"/>
      <c r="C53" s="396" t="s">
        <v>753</v>
      </c>
      <c r="D53" s="397" t="s">
        <v>3</v>
      </c>
      <c r="E53" s="397" t="s">
        <v>1</v>
      </c>
      <c r="F53" s="397" t="s">
        <v>4</v>
      </c>
      <c r="G53" s="397" t="s">
        <v>5</v>
      </c>
    </row>
    <row r="54" spans="1:7" s="160" customFormat="1" x14ac:dyDescent="0.35">
      <c r="A54" s="398"/>
      <c r="B54" s="399"/>
      <c r="C54" s="400"/>
      <c r="D54" s="409"/>
      <c r="E54" s="401"/>
      <c r="F54" s="411"/>
      <c r="G54" s="402">
        <f>ROUND(D54*F54,2)</f>
        <v>0</v>
      </c>
    </row>
    <row r="55" spans="1:7" s="160" customFormat="1" ht="46.5" x14ac:dyDescent="0.35">
      <c r="A55" s="398"/>
      <c r="B55" s="399"/>
      <c r="C55" s="403" t="s">
        <v>784</v>
      </c>
      <c r="D55" s="409"/>
      <c r="E55" s="401"/>
      <c r="F55" s="411"/>
      <c r="G55" s="402">
        <f>ROUND(D55*F55,2)</f>
        <v>0</v>
      </c>
    </row>
    <row r="56" spans="1:7" s="160" customFormat="1" x14ac:dyDescent="0.35">
      <c r="A56" s="398"/>
      <c r="B56" s="399"/>
      <c r="C56" s="400"/>
      <c r="D56" s="409"/>
      <c r="E56" s="401"/>
      <c r="F56" s="411"/>
      <c r="G56" s="402">
        <f>ROUND(D56*F56,2)</f>
        <v>0</v>
      </c>
    </row>
    <row r="57" spans="1:7" s="160" customFormat="1" ht="116.25" x14ac:dyDescent="0.35">
      <c r="A57" s="398"/>
      <c r="B57" s="399"/>
      <c r="C57" s="400" t="s">
        <v>890</v>
      </c>
      <c r="D57" s="409">
        <v>130</v>
      </c>
      <c r="E57" s="401" t="s">
        <v>772</v>
      </c>
      <c r="F57" s="411"/>
      <c r="G57" s="402">
        <f>D57*F57</f>
        <v>0</v>
      </c>
    </row>
    <row r="58" spans="1:7" s="160" customFormat="1" x14ac:dyDescent="0.35">
      <c r="A58" s="398"/>
      <c r="B58" s="399"/>
      <c r="C58" s="400"/>
      <c r="D58" s="409"/>
      <c r="E58" s="401"/>
      <c r="F58" s="411"/>
      <c r="G58" s="402">
        <f t="shared" ref="G58:G76" si="0">ROUND(D58*F58,2)</f>
        <v>0</v>
      </c>
    </row>
    <row r="59" spans="1:7" s="160" customFormat="1" ht="69.75" x14ac:dyDescent="0.35">
      <c r="A59" s="398"/>
      <c r="B59" s="399"/>
      <c r="C59" s="400" t="s">
        <v>832</v>
      </c>
      <c r="D59" s="409">
        <v>130</v>
      </c>
      <c r="E59" s="401" t="s">
        <v>772</v>
      </c>
      <c r="F59" s="411"/>
      <c r="G59" s="402">
        <f>D59*F59</f>
        <v>0</v>
      </c>
    </row>
    <row r="60" spans="1:7" s="160" customFormat="1" x14ac:dyDescent="0.35">
      <c r="A60" s="398"/>
      <c r="B60" s="399"/>
      <c r="C60" s="400"/>
      <c r="D60" s="409"/>
      <c r="E60" s="401"/>
      <c r="F60" s="411"/>
      <c r="G60" s="402">
        <f t="shared" si="0"/>
        <v>0</v>
      </c>
    </row>
    <row r="61" spans="1:7" s="160" customFormat="1" ht="46.5" x14ac:dyDescent="0.35">
      <c r="A61" s="398"/>
      <c r="B61" s="399"/>
      <c r="C61" s="400" t="s">
        <v>774</v>
      </c>
      <c r="D61" s="409">
        <v>130</v>
      </c>
      <c r="E61" s="401" t="s">
        <v>772</v>
      </c>
      <c r="F61" s="411"/>
      <c r="G61" s="402">
        <f>D61*F61</f>
        <v>0</v>
      </c>
    </row>
    <row r="62" spans="1:7" s="160" customFormat="1" x14ac:dyDescent="0.35">
      <c r="A62" s="398"/>
      <c r="B62" s="399"/>
      <c r="C62" s="400"/>
      <c r="D62" s="409"/>
      <c r="E62" s="401"/>
      <c r="F62" s="411"/>
      <c r="G62" s="402">
        <f t="shared" si="0"/>
        <v>0</v>
      </c>
    </row>
    <row r="63" spans="1:7" s="160" customFormat="1" ht="93" x14ac:dyDescent="0.35">
      <c r="A63" s="398"/>
      <c r="B63" s="399"/>
      <c r="C63" s="400" t="s">
        <v>775</v>
      </c>
      <c r="D63" s="409">
        <v>76</v>
      </c>
      <c r="E63" s="401" t="s">
        <v>772</v>
      </c>
      <c r="F63" s="411"/>
      <c r="G63" s="402">
        <f>D63*F63</f>
        <v>0</v>
      </c>
    </row>
    <row r="64" spans="1:7" s="160" customFormat="1" x14ac:dyDescent="0.35">
      <c r="A64" s="398"/>
      <c r="B64" s="399"/>
      <c r="C64" s="400"/>
      <c r="D64" s="409"/>
      <c r="E64" s="401"/>
      <c r="F64" s="411"/>
      <c r="G64" s="402">
        <f t="shared" si="0"/>
        <v>0</v>
      </c>
    </row>
    <row r="65" spans="1:7" s="160" customFormat="1" ht="46.5" x14ac:dyDescent="0.35">
      <c r="A65" s="398"/>
      <c r="B65" s="399"/>
      <c r="C65" s="400" t="s">
        <v>776</v>
      </c>
      <c r="D65" s="409">
        <v>76</v>
      </c>
      <c r="E65" s="401" t="s">
        <v>772</v>
      </c>
      <c r="F65" s="411"/>
      <c r="G65" s="402">
        <f>D65*F65</f>
        <v>0</v>
      </c>
    </row>
    <row r="66" spans="1:7" s="160" customFormat="1" x14ac:dyDescent="0.35">
      <c r="A66" s="398"/>
      <c r="B66" s="399"/>
      <c r="C66" s="400"/>
      <c r="D66" s="409"/>
      <c r="E66" s="401"/>
      <c r="F66" s="411"/>
      <c r="G66" s="402">
        <f t="shared" si="0"/>
        <v>0</v>
      </c>
    </row>
    <row r="67" spans="1:7" s="160" customFormat="1" ht="116.25" x14ac:dyDescent="0.35">
      <c r="A67" s="398"/>
      <c r="B67" s="399"/>
      <c r="C67" s="400" t="s">
        <v>781</v>
      </c>
      <c r="D67" s="409">
        <v>252</v>
      </c>
      <c r="E67" s="401" t="s">
        <v>772</v>
      </c>
      <c r="F67" s="411"/>
      <c r="G67" s="402">
        <f>D67*F67</f>
        <v>0</v>
      </c>
    </row>
    <row r="68" spans="1:7" s="160" customFormat="1" x14ac:dyDescent="0.35">
      <c r="A68" s="398"/>
      <c r="B68" s="399"/>
      <c r="C68" s="400"/>
      <c r="D68" s="409"/>
      <c r="E68" s="401"/>
      <c r="F68" s="411"/>
      <c r="G68" s="402">
        <f t="shared" si="0"/>
        <v>0</v>
      </c>
    </row>
    <row r="69" spans="1:7" s="160" customFormat="1" ht="116.25" x14ac:dyDescent="0.35">
      <c r="A69" s="398"/>
      <c r="B69" s="399"/>
      <c r="C69" s="400" t="s">
        <v>782</v>
      </c>
      <c r="D69" s="409">
        <v>144</v>
      </c>
      <c r="E69" s="401" t="s">
        <v>772</v>
      </c>
      <c r="F69" s="411"/>
      <c r="G69" s="402">
        <f>D69*F69</f>
        <v>0</v>
      </c>
    </row>
    <row r="70" spans="1:7" s="160" customFormat="1" x14ac:dyDescent="0.35">
      <c r="A70" s="398"/>
      <c r="B70" s="399"/>
      <c r="C70" s="400"/>
      <c r="D70" s="409"/>
      <c r="E70" s="401"/>
      <c r="F70" s="411"/>
      <c r="G70" s="402">
        <f t="shared" si="0"/>
        <v>0</v>
      </c>
    </row>
    <row r="71" spans="1:7" s="160" customFormat="1" ht="93" x14ac:dyDescent="0.35">
      <c r="A71" s="398"/>
      <c r="B71" s="399"/>
      <c r="C71" s="400" t="s">
        <v>864</v>
      </c>
      <c r="D71" s="409">
        <v>1</v>
      </c>
      <c r="E71" s="401" t="s">
        <v>761</v>
      </c>
      <c r="F71" s="411"/>
      <c r="G71" s="402">
        <f>D71*F71</f>
        <v>0</v>
      </c>
    </row>
    <row r="72" spans="1:7" s="160" customFormat="1" x14ac:dyDescent="0.35">
      <c r="A72" s="398"/>
      <c r="B72" s="399"/>
      <c r="C72" s="400"/>
      <c r="D72" s="409"/>
      <c r="E72" s="401"/>
      <c r="F72" s="411"/>
      <c r="G72" s="402">
        <f t="shared" si="0"/>
        <v>0</v>
      </c>
    </row>
    <row r="73" spans="1:7" s="160" customFormat="1" x14ac:dyDescent="0.35">
      <c r="A73" s="398"/>
      <c r="B73" s="399"/>
      <c r="C73" s="400"/>
      <c r="D73" s="409"/>
      <c r="E73" s="401"/>
      <c r="F73" s="411"/>
      <c r="G73" s="402">
        <f t="shared" si="0"/>
        <v>0</v>
      </c>
    </row>
    <row r="74" spans="1:7" s="160" customFormat="1" ht="24" thickBot="1" x14ac:dyDescent="0.4">
      <c r="A74" s="398"/>
      <c r="B74" s="399"/>
      <c r="C74" s="400"/>
      <c r="D74" s="409"/>
      <c r="E74" s="401"/>
      <c r="F74" s="411"/>
      <c r="G74" s="402">
        <f t="shared" si="0"/>
        <v>0</v>
      </c>
    </row>
    <row r="75" spans="1:7" s="160" customFormat="1" ht="24" thickBot="1" x14ac:dyDescent="0.4">
      <c r="A75" s="398"/>
      <c r="B75" s="399"/>
      <c r="C75" s="404" t="s">
        <v>760</v>
      </c>
      <c r="D75" s="409"/>
      <c r="E75" s="401"/>
      <c r="F75" s="411"/>
      <c r="G75" s="405">
        <f>SUM(G56:G74)</f>
        <v>0</v>
      </c>
    </row>
    <row r="76" spans="1:7" s="160" customFormat="1" ht="24" thickBot="1" x14ac:dyDescent="0.4">
      <c r="A76" s="398"/>
      <c r="B76" s="399"/>
      <c r="C76" s="400"/>
      <c r="D76" s="409"/>
      <c r="E76" s="401"/>
      <c r="F76" s="411"/>
      <c r="G76" s="402">
        <f t="shared" si="0"/>
        <v>0</v>
      </c>
    </row>
    <row r="77" spans="1:7" x14ac:dyDescent="0.35">
      <c r="A77" s="383"/>
      <c r="B77" s="384"/>
      <c r="C77" s="385"/>
      <c r="D77" s="386"/>
      <c r="E77" s="387"/>
      <c r="F77" s="410"/>
      <c r="G77" s="387"/>
    </row>
    <row r="78" spans="1:7" s="160" customFormat="1" x14ac:dyDescent="0.35">
      <c r="A78" s="388"/>
      <c r="B78" s="389"/>
      <c r="C78" s="390"/>
      <c r="D78" s="391"/>
      <c r="E78" s="391"/>
      <c r="F78" s="393" t="s">
        <v>2</v>
      </c>
      <c r="G78" s="393"/>
    </row>
    <row r="79" spans="1:7" s="160" customFormat="1" ht="24" thickBot="1" x14ac:dyDescent="0.4">
      <c r="A79" s="394"/>
      <c r="B79" s="395"/>
      <c r="C79" s="396" t="s">
        <v>753</v>
      </c>
      <c r="D79" s="397" t="s">
        <v>3</v>
      </c>
      <c r="E79" s="397" t="s">
        <v>1</v>
      </c>
      <c r="F79" s="397" t="s">
        <v>4</v>
      </c>
      <c r="G79" s="397" t="s">
        <v>5</v>
      </c>
    </row>
    <row r="80" spans="1:7" s="160" customFormat="1" x14ac:dyDescent="0.35">
      <c r="A80" s="398"/>
      <c r="B80" s="399"/>
      <c r="C80" s="400"/>
      <c r="D80" s="409"/>
      <c r="E80" s="401"/>
      <c r="F80" s="411"/>
      <c r="G80" s="402">
        <f t="shared" ref="G80:G130" si="1">ROUND(D80*F80,2)</f>
        <v>0</v>
      </c>
    </row>
    <row r="81" spans="1:7" s="160" customFormat="1" ht="46.5" x14ac:dyDescent="0.35">
      <c r="A81" s="398"/>
      <c r="B81" s="399"/>
      <c r="C81" s="403" t="s">
        <v>784</v>
      </c>
      <c r="D81" s="409"/>
      <c r="E81" s="401"/>
      <c r="F81" s="411"/>
      <c r="G81" s="402">
        <f t="shared" si="1"/>
        <v>0</v>
      </c>
    </row>
    <row r="82" spans="1:7" s="160" customFormat="1" ht="18.75" customHeight="1" x14ac:dyDescent="0.35">
      <c r="A82" s="398"/>
      <c r="B82" s="399"/>
      <c r="C82" s="400"/>
      <c r="D82" s="409"/>
      <c r="E82" s="401"/>
      <c r="F82" s="411"/>
      <c r="G82" s="402">
        <f t="shared" si="1"/>
        <v>0</v>
      </c>
    </row>
    <row r="83" spans="1:7" s="160" customFormat="1" ht="139.5" x14ac:dyDescent="0.35">
      <c r="A83" s="398"/>
      <c r="B83" s="399"/>
      <c r="C83" s="400" t="s">
        <v>778</v>
      </c>
      <c r="D83" s="409">
        <v>6</v>
      </c>
      <c r="E83" s="401" t="s">
        <v>777</v>
      </c>
      <c r="F83" s="411"/>
      <c r="G83" s="402">
        <f>D83*F83</f>
        <v>0</v>
      </c>
    </row>
    <row r="84" spans="1:7" s="160" customFormat="1" x14ac:dyDescent="0.35">
      <c r="A84" s="398"/>
      <c r="B84" s="399"/>
      <c r="C84" s="400"/>
      <c r="D84" s="409"/>
      <c r="E84" s="401"/>
      <c r="F84" s="411"/>
      <c r="G84" s="402">
        <f t="shared" si="1"/>
        <v>0</v>
      </c>
    </row>
    <row r="85" spans="1:7" s="160" customFormat="1" ht="116.25" x14ac:dyDescent="0.35">
      <c r="A85" s="398"/>
      <c r="B85" s="399"/>
      <c r="C85" s="400" t="s">
        <v>779</v>
      </c>
      <c r="D85" s="409">
        <v>6</v>
      </c>
      <c r="E85" s="401" t="s">
        <v>777</v>
      </c>
      <c r="F85" s="411"/>
      <c r="G85" s="402">
        <f>D85*F85</f>
        <v>0</v>
      </c>
    </row>
    <row r="86" spans="1:7" s="160" customFormat="1" x14ac:dyDescent="0.35">
      <c r="A86" s="398"/>
      <c r="B86" s="399"/>
      <c r="C86" s="400"/>
      <c r="D86" s="409"/>
      <c r="E86" s="401"/>
      <c r="F86" s="411"/>
      <c r="G86" s="402">
        <f t="shared" si="1"/>
        <v>0</v>
      </c>
    </row>
    <row r="87" spans="1:7" s="160" customFormat="1" ht="139.5" x14ac:dyDescent="0.35">
      <c r="A87" s="398"/>
      <c r="B87" s="399"/>
      <c r="C87" s="400" t="s">
        <v>780</v>
      </c>
      <c r="D87" s="409">
        <v>6</v>
      </c>
      <c r="E87" s="401" t="s">
        <v>777</v>
      </c>
      <c r="F87" s="411"/>
      <c r="G87" s="402">
        <f>D87*F87</f>
        <v>0</v>
      </c>
    </row>
    <row r="88" spans="1:7" s="160" customFormat="1" x14ac:dyDescent="0.35">
      <c r="A88" s="398"/>
      <c r="B88" s="399"/>
      <c r="C88" s="400"/>
      <c r="D88" s="409"/>
      <c r="E88" s="401"/>
      <c r="F88" s="411"/>
      <c r="G88" s="402">
        <f t="shared" si="1"/>
        <v>0</v>
      </c>
    </row>
    <row r="89" spans="1:7" s="160" customFormat="1" ht="116.25" x14ac:dyDescent="0.35">
      <c r="A89" s="398"/>
      <c r="B89" s="399"/>
      <c r="C89" s="400" t="s">
        <v>834</v>
      </c>
      <c r="D89" s="409">
        <v>72</v>
      </c>
      <c r="E89" s="401" t="s">
        <v>26</v>
      </c>
      <c r="F89" s="411"/>
      <c r="G89" s="402">
        <f>D89*F89</f>
        <v>0</v>
      </c>
    </row>
    <row r="90" spans="1:7" s="160" customFormat="1" x14ac:dyDescent="0.35">
      <c r="A90" s="398"/>
      <c r="B90" s="399"/>
      <c r="C90" s="400"/>
      <c r="D90" s="409"/>
      <c r="E90" s="401"/>
      <c r="F90" s="411"/>
      <c r="G90" s="402">
        <f t="shared" si="1"/>
        <v>0</v>
      </c>
    </row>
    <row r="91" spans="1:7" s="160" customFormat="1" ht="162.75" x14ac:dyDescent="0.35">
      <c r="A91" s="398"/>
      <c r="B91" s="399"/>
      <c r="C91" s="400" t="s">
        <v>868</v>
      </c>
      <c r="D91" s="409">
        <v>6</v>
      </c>
      <c r="E91" s="401" t="s">
        <v>777</v>
      </c>
      <c r="F91" s="411"/>
      <c r="G91" s="402">
        <f>D91*F91</f>
        <v>0</v>
      </c>
    </row>
    <row r="92" spans="1:7" s="160" customFormat="1" x14ac:dyDescent="0.35">
      <c r="A92" s="398"/>
      <c r="B92" s="399"/>
      <c r="C92" s="400"/>
      <c r="D92" s="409"/>
      <c r="E92" s="401"/>
      <c r="F92" s="411"/>
      <c r="G92" s="402">
        <f t="shared" si="1"/>
        <v>0</v>
      </c>
    </row>
    <row r="93" spans="1:7" s="160" customFormat="1" x14ac:dyDescent="0.35">
      <c r="A93" s="398"/>
      <c r="B93" s="399"/>
      <c r="C93" s="400"/>
      <c r="D93" s="409"/>
      <c r="E93" s="401"/>
      <c r="F93" s="411"/>
      <c r="G93" s="402">
        <f t="shared" si="1"/>
        <v>0</v>
      </c>
    </row>
    <row r="94" spans="1:7" s="160" customFormat="1" x14ac:dyDescent="0.35">
      <c r="A94" s="398"/>
      <c r="B94" s="399"/>
      <c r="C94" s="400"/>
      <c r="D94" s="409"/>
      <c r="E94" s="401"/>
      <c r="F94" s="411"/>
      <c r="G94" s="402">
        <f t="shared" si="1"/>
        <v>0</v>
      </c>
    </row>
    <row r="95" spans="1:7" s="160" customFormat="1" x14ac:dyDescent="0.35">
      <c r="A95" s="398"/>
      <c r="B95" s="399"/>
      <c r="C95" s="400"/>
      <c r="D95" s="409"/>
      <c r="E95" s="401"/>
      <c r="F95" s="411"/>
      <c r="G95" s="402">
        <f t="shared" si="1"/>
        <v>0</v>
      </c>
    </row>
    <row r="96" spans="1:7" s="160" customFormat="1" x14ac:dyDescent="0.35">
      <c r="A96" s="398"/>
      <c r="B96" s="399"/>
      <c r="C96" s="400"/>
      <c r="D96" s="409"/>
      <c r="E96" s="401"/>
      <c r="F96" s="411"/>
      <c r="G96" s="402">
        <f t="shared" si="1"/>
        <v>0</v>
      </c>
    </row>
    <row r="97" spans="1:7" s="160" customFormat="1" x14ac:dyDescent="0.35">
      <c r="A97" s="398"/>
      <c r="B97" s="399"/>
      <c r="C97" s="400"/>
      <c r="D97" s="409"/>
      <c r="E97" s="401"/>
      <c r="F97" s="411"/>
      <c r="G97" s="402">
        <f t="shared" si="1"/>
        <v>0</v>
      </c>
    </row>
    <row r="98" spans="1:7" s="160" customFormat="1" x14ac:dyDescent="0.35">
      <c r="A98" s="398"/>
      <c r="B98" s="399"/>
      <c r="C98" s="400"/>
      <c r="D98" s="409"/>
      <c r="E98" s="401"/>
      <c r="F98" s="411"/>
      <c r="G98" s="402">
        <f t="shared" si="1"/>
        <v>0</v>
      </c>
    </row>
    <row r="99" spans="1:7" s="160" customFormat="1" ht="24" thickBot="1" x14ac:dyDescent="0.4">
      <c r="A99" s="398"/>
      <c r="B99" s="399"/>
      <c r="C99" s="400"/>
      <c r="D99" s="409"/>
      <c r="E99" s="401"/>
      <c r="F99" s="411"/>
      <c r="G99" s="402">
        <f t="shared" si="1"/>
        <v>0</v>
      </c>
    </row>
    <row r="100" spans="1:7" s="160" customFormat="1" ht="24" thickBot="1" x14ac:dyDescent="0.4">
      <c r="A100" s="398"/>
      <c r="B100" s="399"/>
      <c r="C100" s="404" t="s">
        <v>760</v>
      </c>
      <c r="D100" s="409"/>
      <c r="E100" s="401"/>
      <c r="F100" s="411"/>
      <c r="G100" s="405">
        <f>SUM(G81:G99)</f>
        <v>0</v>
      </c>
    </row>
    <row r="101" spans="1:7" s="160" customFormat="1" x14ac:dyDescent="0.35">
      <c r="A101" s="398"/>
      <c r="B101" s="399"/>
      <c r="C101" s="400"/>
      <c r="D101" s="409"/>
      <c r="E101" s="401"/>
      <c r="F101" s="411"/>
      <c r="G101" s="402">
        <f t="shared" si="1"/>
        <v>0</v>
      </c>
    </row>
    <row r="102" spans="1:7" s="160" customFormat="1" ht="24" thickBot="1" x14ac:dyDescent="0.4">
      <c r="A102" s="398"/>
      <c r="B102" s="399"/>
      <c r="C102" s="400"/>
      <c r="D102" s="409"/>
      <c r="E102" s="401"/>
      <c r="F102" s="411"/>
      <c r="G102" s="402">
        <f t="shared" si="1"/>
        <v>0</v>
      </c>
    </row>
    <row r="103" spans="1:7" x14ac:dyDescent="0.35">
      <c r="A103" s="383"/>
      <c r="B103" s="384"/>
      <c r="C103" s="385"/>
      <c r="D103" s="386"/>
      <c r="E103" s="387"/>
      <c r="F103" s="410"/>
      <c r="G103" s="387"/>
    </row>
    <row r="104" spans="1:7" s="160" customFormat="1" x14ac:dyDescent="0.35">
      <c r="A104" s="388"/>
      <c r="B104" s="389"/>
      <c r="C104" s="390"/>
      <c r="D104" s="391"/>
      <c r="E104" s="391"/>
      <c r="F104" s="393" t="s">
        <v>2</v>
      </c>
      <c r="G104" s="393"/>
    </row>
    <row r="105" spans="1:7" s="160" customFormat="1" ht="24" thickBot="1" x14ac:dyDescent="0.4">
      <c r="A105" s="394"/>
      <c r="B105" s="395"/>
      <c r="C105" s="396" t="s">
        <v>753</v>
      </c>
      <c r="D105" s="397" t="s">
        <v>3</v>
      </c>
      <c r="E105" s="397" t="s">
        <v>1</v>
      </c>
      <c r="F105" s="397" t="s">
        <v>4</v>
      </c>
      <c r="G105" s="397" t="s">
        <v>5</v>
      </c>
    </row>
    <row r="106" spans="1:7" s="160" customFormat="1" x14ac:dyDescent="0.35">
      <c r="A106" s="398"/>
      <c r="B106" s="399"/>
      <c r="C106" s="400"/>
      <c r="D106" s="409"/>
      <c r="E106" s="401"/>
      <c r="F106" s="411"/>
      <c r="G106" s="402">
        <f t="shared" si="1"/>
        <v>0</v>
      </c>
    </row>
    <row r="107" spans="1:7" s="160" customFormat="1" ht="46.5" x14ac:dyDescent="0.35">
      <c r="A107" s="398"/>
      <c r="B107" s="399"/>
      <c r="C107" s="403" t="s">
        <v>784</v>
      </c>
      <c r="D107" s="409"/>
      <c r="E107" s="401"/>
      <c r="F107" s="411"/>
      <c r="G107" s="402">
        <f t="shared" si="1"/>
        <v>0</v>
      </c>
    </row>
    <row r="108" spans="1:7" s="160" customFormat="1" x14ac:dyDescent="0.35">
      <c r="A108" s="398"/>
      <c r="B108" s="399"/>
      <c r="C108" s="400"/>
      <c r="D108" s="409"/>
      <c r="E108" s="401"/>
      <c r="F108" s="411"/>
      <c r="G108" s="402">
        <f t="shared" si="1"/>
        <v>0</v>
      </c>
    </row>
    <row r="109" spans="1:7" s="160" customFormat="1" x14ac:dyDescent="0.35">
      <c r="A109" s="398"/>
      <c r="B109" s="399"/>
      <c r="C109" s="412" t="s">
        <v>786</v>
      </c>
      <c r="D109" s="409"/>
      <c r="E109" s="401"/>
      <c r="F109" s="411"/>
      <c r="G109" s="402">
        <f t="shared" si="1"/>
        <v>0</v>
      </c>
    </row>
    <row r="110" spans="1:7" s="160" customFormat="1" x14ac:dyDescent="0.35">
      <c r="A110" s="398"/>
      <c r="B110" s="399"/>
      <c r="C110" s="400"/>
      <c r="D110" s="409"/>
      <c r="E110" s="401"/>
      <c r="F110" s="411"/>
      <c r="G110" s="402">
        <f t="shared" si="1"/>
        <v>0</v>
      </c>
    </row>
    <row r="111" spans="1:7" s="160" customFormat="1" ht="46.5" x14ac:dyDescent="0.35">
      <c r="A111" s="398"/>
      <c r="B111" s="399"/>
      <c r="C111" s="400" t="s">
        <v>789</v>
      </c>
      <c r="D111" s="409">
        <v>1</v>
      </c>
      <c r="E111" s="401" t="s">
        <v>756</v>
      </c>
      <c r="F111" s="411"/>
      <c r="G111" s="402">
        <f>D111*F111</f>
        <v>0</v>
      </c>
    </row>
    <row r="112" spans="1:7" s="160" customFormat="1" x14ac:dyDescent="0.35">
      <c r="A112" s="398"/>
      <c r="B112" s="399"/>
      <c r="C112" s="400"/>
      <c r="D112" s="409"/>
      <c r="E112" s="401"/>
      <c r="F112" s="411"/>
      <c r="G112" s="402">
        <f t="shared" si="1"/>
        <v>0</v>
      </c>
    </row>
    <row r="113" spans="1:7" s="160" customFormat="1" ht="69.75" x14ac:dyDescent="0.35">
      <c r="A113" s="398"/>
      <c r="B113" s="399"/>
      <c r="C113" s="400" t="s">
        <v>787</v>
      </c>
      <c r="D113" s="409">
        <v>31</v>
      </c>
      <c r="E113" s="401" t="s">
        <v>26</v>
      </c>
      <c r="F113" s="411"/>
      <c r="G113" s="402">
        <f>D113*F113</f>
        <v>0</v>
      </c>
    </row>
    <row r="114" spans="1:7" s="160" customFormat="1" x14ac:dyDescent="0.35">
      <c r="A114" s="398"/>
      <c r="B114" s="399"/>
      <c r="C114" s="400"/>
      <c r="D114" s="409"/>
      <c r="E114" s="401"/>
      <c r="F114" s="411"/>
      <c r="G114" s="402">
        <f t="shared" si="1"/>
        <v>0</v>
      </c>
    </row>
    <row r="115" spans="1:7" s="160" customFormat="1" ht="46.5" x14ac:dyDescent="0.35">
      <c r="A115" s="398"/>
      <c r="B115" s="399"/>
      <c r="C115" s="400" t="s">
        <v>788</v>
      </c>
      <c r="D115" s="409">
        <v>412</v>
      </c>
      <c r="E115" s="401" t="s">
        <v>772</v>
      </c>
      <c r="F115" s="411"/>
      <c r="G115" s="402">
        <f>D115*F115</f>
        <v>0</v>
      </c>
    </row>
    <row r="116" spans="1:7" s="160" customFormat="1" x14ac:dyDescent="0.35">
      <c r="A116" s="398"/>
      <c r="B116" s="399"/>
      <c r="C116" s="400"/>
      <c r="D116" s="409"/>
      <c r="E116" s="401"/>
      <c r="F116" s="411"/>
      <c r="G116" s="402">
        <f t="shared" si="1"/>
        <v>0</v>
      </c>
    </row>
    <row r="117" spans="1:7" s="160" customFormat="1" ht="116.25" x14ac:dyDescent="0.35">
      <c r="A117" s="398"/>
      <c r="B117" s="399"/>
      <c r="C117" s="400" t="s">
        <v>791</v>
      </c>
      <c r="D117" s="409"/>
      <c r="E117" s="401"/>
      <c r="F117" s="411"/>
      <c r="G117" s="402">
        <f t="shared" si="1"/>
        <v>0</v>
      </c>
    </row>
    <row r="118" spans="1:7" s="160" customFormat="1" ht="24" thickBot="1" x14ac:dyDescent="0.4">
      <c r="A118" s="398"/>
      <c r="B118" s="399"/>
      <c r="C118" s="400"/>
      <c r="D118" s="409"/>
      <c r="E118" s="401"/>
      <c r="F118" s="411"/>
      <c r="G118" s="402">
        <f t="shared" si="1"/>
        <v>0</v>
      </c>
    </row>
    <row r="119" spans="1:7" s="160" customFormat="1" ht="70.5" thickBot="1" x14ac:dyDescent="0.4">
      <c r="A119" s="398"/>
      <c r="B119" s="399"/>
      <c r="C119" s="400" t="s">
        <v>938</v>
      </c>
      <c r="D119" s="409">
        <v>1</v>
      </c>
      <c r="E119" s="401" t="s">
        <v>756</v>
      </c>
      <c r="F119" s="411"/>
      <c r="G119" s="433">
        <f>D119*F119</f>
        <v>0</v>
      </c>
    </row>
    <row r="120" spans="1:7" s="160" customFormat="1" ht="24" thickBot="1" x14ac:dyDescent="0.4">
      <c r="A120" s="398"/>
      <c r="B120" s="399"/>
      <c r="C120" s="400"/>
      <c r="D120" s="409"/>
      <c r="E120" s="401"/>
      <c r="F120" s="411"/>
      <c r="G120" s="402">
        <f t="shared" ref="G120:G122" si="2">ROUND(D120*F120,2)</f>
        <v>0</v>
      </c>
    </row>
    <row r="121" spans="1:7" s="160" customFormat="1" ht="47.25" customHeight="1" thickBot="1" x14ac:dyDescent="0.4">
      <c r="A121" s="398"/>
      <c r="B121" s="399"/>
      <c r="C121" s="400"/>
      <c r="D121" s="409"/>
      <c r="E121" s="401"/>
      <c r="F121" s="411"/>
      <c r="G121" s="433">
        <f>D121*F121</f>
        <v>0</v>
      </c>
    </row>
    <row r="122" spans="1:7" s="160" customFormat="1" ht="24" thickBot="1" x14ac:dyDescent="0.4">
      <c r="A122" s="398"/>
      <c r="B122" s="399"/>
      <c r="C122" s="400"/>
      <c r="D122" s="409"/>
      <c r="E122" s="401"/>
      <c r="F122" s="411"/>
      <c r="G122" s="402">
        <f t="shared" si="2"/>
        <v>0</v>
      </c>
    </row>
    <row r="123" spans="1:7" s="160" customFormat="1" ht="70.5" thickBot="1" x14ac:dyDescent="0.4">
      <c r="A123" s="398"/>
      <c r="B123" s="399"/>
      <c r="C123" s="400" t="s">
        <v>939</v>
      </c>
      <c r="D123" s="409">
        <v>1</v>
      </c>
      <c r="E123" s="401" t="s">
        <v>756</v>
      </c>
      <c r="F123" s="411"/>
      <c r="G123" s="433">
        <f>D123*F123</f>
        <v>0</v>
      </c>
    </row>
    <row r="124" spans="1:7" s="160" customFormat="1" x14ac:dyDescent="0.35">
      <c r="A124" s="398"/>
      <c r="B124" s="399"/>
      <c r="C124" s="400"/>
      <c r="D124" s="409"/>
      <c r="E124" s="401"/>
      <c r="F124" s="411"/>
      <c r="G124" s="402">
        <f t="shared" si="1"/>
        <v>0</v>
      </c>
    </row>
    <row r="125" spans="1:7" s="160" customFormat="1" x14ac:dyDescent="0.35">
      <c r="A125" s="398"/>
      <c r="B125" s="399"/>
      <c r="C125" s="400"/>
      <c r="D125" s="409"/>
      <c r="E125" s="401"/>
      <c r="F125" s="411"/>
      <c r="G125" s="402">
        <f t="shared" si="1"/>
        <v>0</v>
      </c>
    </row>
    <row r="126" spans="1:7" s="160" customFormat="1" x14ac:dyDescent="0.35">
      <c r="A126" s="398"/>
      <c r="B126" s="399"/>
      <c r="C126" s="400"/>
      <c r="D126" s="409"/>
      <c r="E126" s="401"/>
      <c r="F126" s="411"/>
      <c r="G126" s="402">
        <f t="shared" si="1"/>
        <v>0</v>
      </c>
    </row>
    <row r="127" spans="1:7" s="160" customFormat="1" x14ac:dyDescent="0.35">
      <c r="A127" s="398"/>
      <c r="B127" s="399"/>
      <c r="C127" s="400"/>
      <c r="D127" s="409"/>
      <c r="E127" s="401"/>
      <c r="F127" s="411"/>
      <c r="G127" s="402">
        <f t="shared" si="1"/>
        <v>0</v>
      </c>
    </row>
    <row r="128" spans="1:7" s="160" customFormat="1" ht="24" thickBot="1" x14ac:dyDescent="0.4">
      <c r="A128" s="398"/>
      <c r="B128" s="399"/>
      <c r="C128" s="400"/>
      <c r="D128" s="409"/>
      <c r="E128" s="401"/>
      <c r="F128" s="411"/>
      <c r="G128" s="402">
        <f t="shared" si="1"/>
        <v>0</v>
      </c>
    </row>
    <row r="129" spans="1:7" s="160" customFormat="1" ht="24" thickBot="1" x14ac:dyDescent="0.4">
      <c r="A129" s="398"/>
      <c r="B129" s="399"/>
      <c r="C129" s="404" t="s">
        <v>760</v>
      </c>
      <c r="D129" s="409"/>
      <c r="E129" s="401"/>
      <c r="F129" s="411"/>
      <c r="G129" s="405">
        <f>SUM(G108:G128)</f>
        <v>0</v>
      </c>
    </row>
    <row r="130" spans="1:7" s="160" customFormat="1" ht="24" thickBot="1" x14ac:dyDescent="0.4">
      <c r="A130" s="398"/>
      <c r="B130" s="399"/>
      <c r="C130" s="400"/>
      <c r="D130" s="409"/>
      <c r="E130" s="401"/>
      <c r="F130" s="411"/>
      <c r="G130" s="402">
        <f t="shared" si="1"/>
        <v>0</v>
      </c>
    </row>
    <row r="131" spans="1:7" x14ac:dyDescent="0.35">
      <c r="A131" s="383"/>
      <c r="B131" s="384"/>
      <c r="C131" s="385"/>
      <c r="D131" s="386"/>
      <c r="E131" s="387"/>
      <c r="F131" s="410"/>
      <c r="G131" s="387"/>
    </row>
    <row r="132" spans="1:7" s="160" customFormat="1" x14ac:dyDescent="0.35">
      <c r="A132" s="388"/>
      <c r="B132" s="389"/>
      <c r="C132" s="390"/>
      <c r="D132" s="391"/>
      <c r="E132" s="391"/>
      <c r="F132" s="393" t="s">
        <v>2</v>
      </c>
      <c r="G132" s="393"/>
    </row>
    <row r="133" spans="1:7" s="160" customFormat="1" ht="24" thickBot="1" x14ac:dyDescent="0.4">
      <c r="A133" s="394"/>
      <c r="B133" s="395"/>
      <c r="C133" s="396" t="s">
        <v>753</v>
      </c>
      <c r="D133" s="397" t="s">
        <v>3</v>
      </c>
      <c r="E133" s="397" t="s">
        <v>1</v>
      </c>
      <c r="F133" s="397" t="s">
        <v>4</v>
      </c>
      <c r="G133" s="397" t="s">
        <v>5</v>
      </c>
    </row>
    <row r="134" spans="1:7" s="160" customFormat="1" x14ac:dyDescent="0.35">
      <c r="A134" s="398"/>
      <c r="B134" s="399"/>
      <c r="C134" s="400"/>
      <c r="D134" s="409"/>
      <c r="E134" s="401"/>
      <c r="F134" s="411"/>
      <c r="G134" s="402">
        <f t="shared" ref="G134:G146" si="3">ROUND(D134*F134,2)</f>
        <v>0</v>
      </c>
    </row>
    <row r="135" spans="1:7" s="160" customFormat="1" ht="46.5" x14ac:dyDescent="0.35">
      <c r="A135" s="398"/>
      <c r="B135" s="399"/>
      <c r="C135" s="403" t="s">
        <v>784</v>
      </c>
      <c r="D135" s="409"/>
      <c r="E135" s="401"/>
      <c r="F135" s="411"/>
      <c r="G135" s="402">
        <f t="shared" si="3"/>
        <v>0</v>
      </c>
    </row>
    <row r="136" spans="1:7" s="160" customFormat="1" x14ac:dyDescent="0.35">
      <c r="A136" s="398"/>
      <c r="B136" s="399"/>
      <c r="C136" s="400"/>
      <c r="D136" s="409"/>
      <c r="E136" s="401"/>
      <c r="F136" s="411"/>
      <c r="G136" s="402">
        <f t="shared" si="3"/>
        <v>0</v>
      </c>
    </row>
    <row r="137" spans="1:7" s="160" customFormat="1" x14ac:dyDescent="0.35">
      <c r="A137" s="398"/>
      <c r="B137" s="399"/>
      <c r="C137" s="412" t="s">
        <v>790</v>
      </c>
      <c r="D137" s="409"/>
      <c r="E137" s="401"/>
      <c r="F137" s="411"/>
      <c r="G137" s="402">
        <f t="shared" si="3"/>
        <v>0</v>
      </c>
    </row>
    <row r="138" spans="1:7" s="160" customFormat="1" ht="24" thickBot="1" x14ac:dyDescent="0.4">
      <c r="A138" s="398"/>
      <c r="B138" s="399"/>
      <c r="C138" s="400"/>
      <c r="D138" s="409"/>
      <c r="E138" s="401"/>
      <c r="F138" s="411"/>
      <c r="G138" s="402">
        <f t="shared" si="3"/>
        <v>0</v>
      </c>
    </row>
    <row r="139" spans="1:7" s="160" customFormat="1" ht="117" thickBot="1" x14ac:dyDescent="0.4">
      <c r="A139" s="398"/>
      <c r="B139" s="399"/>
      <c r="C139" s="400" t="s">
        <v>940</v>
      </c>
      <c r="D139" s="409">
        <v>1</v>
      </c>
      <c r="E139" s="401" t="s">
        <v>756</v>
      </c>
      <c r="F139" s="411"/>
      <c r="G139" s="433">
        <f>D139*F139</f>
        <v>0</v>
      </c>
    </row>
    <row r="140" spans="1:7" s="160" customFormat="1" ht="24" thickBot="1" x14ac:dyDescent="0.4">
      <c r="A140" s="398"/>
      <c r="B140" s="399"/>
      <c r="C140" s="400"/>
      <c r="D140" s="409"/>
      <c r="E140" s="401"/>
      <c r="F140" s="411"/>
      <c r="G140" s="402">
        <f t="shared" ref="G140" si="4">ROUND(D140*F140,2)</f>
        <v>0</v>
      </c>
    </row>
    <row r="141" spans="1:7" s="160" customFormat="1" ht="70.5" thickBot="1" x14ac:dyDescent="0.4">
      <c r="A141" s="398"/>
      <c r="B141" s="399"/>
      <c r="C141" s="400" t="s">
        <v>941</v>
      </c>
      <c r="D141" s="409">
        <v>1</v>
      </c>
      <c r="E141" s="401" t="s">
        <v>756</v>
      </c>
      <c r="F141" s="411"/>
      <c r="G141" s="433">
        <f>D141*F141</f>
        <v>0</v>
      </c>
    </row>
    <row r="142" spans="1:7" s="160" customFormat="1" x14ac:dyDescent="0.35">
      <c r="A142" s="398"/>
      <c r="B142" s="399"/>
      <c r="C142" s="400"/>
      <c r="D142" s="409"/>
      <c r="E142" s="401"/>
      <c r="F142" s="411"/>
      <c r="G142" s="402">
        <f t="shared" si="3"/>
        <v>0</v>
      </c>
    </row>
    <row r="143" spans="1:7" s="160" customFormat="1" ht="116.25" x14ac:dyDescent="0.35">
      <c r="A143" s="398"/>
      <c r="B143" s="399"/>
      <c r="C143" s="400" t="s">
        <v>795</v>
      </c>
      <c r="D143" s="409">
        <v>412</v>
      </c>
      <c r="E143" s="401" t="s">
        <v>772</v>
      </c>
      <c r="F143" s="411"/>
      <c r="G143" s="402">
        <f>D143*F143</f>
        <v>0</v>
      </c>
    </row>
    <row r="144" spans="1:7" s="160" customFormat="1" x14ac:dyDescent="0.35">
      <c r="A144" s="398"/>
      <c r="B144" s="399"/>
      <c r="C144" s="400"/>
      <c r="D144" s="409"/>
      <c r="E144" s="401"/>
      <c r="F144" s="411"/>
      <c r="G144" s="402">
        <f t="shared" si="3"/>
        <v>0</v>
      </c>
    </row>
    <row r="145" spans="1:7" s="160" customFormat="1" ht="69.75" x14ac:dyDescent="0.35">
      <c r="A145" s="398"/>
      <c r="B145" s="399"/>
      <c r="C145" s="400" t="s">
        <v>796</v>
      </c>
      <c r="D145" s="409">
        <v>31</v>
      </c>
      <c r="E145" s="401" t="s">
        <v>26</v>
      </c>
      <c r="F145" s="411"/>
      <c r="G145" s="402">
        <f>D145*F145</f>
        <v>0</v>
      </c>
    </row>
    <row r="146" spans="1:7" s="160" customFormat="1" x14ac:dyDescent="0.35">
      <c r="A146" s="398"/>
      <c r="B146" s="399"/>
      <c r="C146" s="400"/>
      <c r="D146" s="409"/>
      <c r="E146" s="401"/>
      <c r="F146" s="411"/>
      <c r="G146" s="402">
        <f t="shared" si="3"/>
        <v>0</v>
      </c>
    </row>
    <row r="147" spans="1:7" s="160" customFormat="1" ht="116.25" x14ac:dyDescent="0.35">
      <c r="A147" s="398"/>
      <c r="B147" s="399"/>
      <c r="C147" s="400" t="s">
        <v>797</v>
      </c>
      <c r="D147" s="409">
        <v>94</v>
      </c>
      <c r="E147" s="401" t="s">
        <v>26</v>
      </c>
      <c r="F147" s="411"/>
      <c r="G147" s="402">
        <f>D147*F147</f>
        <v>0</v>
      </c>
    </row>
    <row r="148" spans="1:7" s="160" customFormat="1" x14ac:dyDescent="0.35">
      <c r="A148" s="398"/>
      <c r="B148" s="399"/>
      <c r="C148" s="400"/>
      <c r="D148" s="409"/>
      <c r="E148" s="401"/>
      <c r="F148" s="411"/>
      <c r="G148" s="402">
        <f t="shared" ref="G148:G157" si="5">ROUND(D148*F148,2)</f>
        <v>0</v>
      </c>
    </row>
    <row r="149" spans="1:7" s="160" customFormat="1" x14ac:dyDescent="0.35">
      <c r="A149" s="398"/>
      <c r="B149" s="399"/>
      <c r="C149" s="400"/>
      <c r="D149" s="409"/>
      <c r="E149" s="401"/>
      <c r="F149" s="411"/>
      <c r="G149" s="402">
        <f t="shared" si="5"/>
        <v>0</v>
      </c>
    </row>
    <row r="150" spans="1:7" s="160" customFormat="1" x14ac:dyDescent="0.35">
      <c r="A150" s="398"/>
      <c r="B150" s="399"/>
      <c r="C150" s="400"/>
      <c r="D150" s="409"/>
      <c r="E150" s="401"/>
      <c r="F150" s="411"/>
      <c r="G150" s="402">
        <f t="shared" si="5"/>
        <v>0</v>
      </c>
    </row>
    <row r="151" spans="1:7" s="160" customFormat="1" x14ac:dyDescent="0.35">
      <c r="A151" s="398"/>
      <c r="B151" s="399"/>
      <c r="C151" s="400"/>
      <c r="D151" s="409"/>
      <c r="E151" s="401"/>
      <c r="F151" s="411"/>
      <c r="G151" s="402">
        <f t="shared" si="5"/>
        <v>0</v>
      </c>
    </row>
    <row r="152" spans="1:7" s="160" customFormat="1" x14ac:dyDescent="0.35">
      <c r="A152" s="398"/>
      <c r="B152" s="399"/>
      <c r="C152" s="400"/>
      <c r="D152" s="409"/>
      <c r="E152" s="401"/>
      <c r="F152" s="411"/>
      <c r="G152" s="402">
        <f t="shared" si="5"/>
        <v>0</v>
      </c>
    </row>
    <row r="153" spans="1:7" s="160" customFormat="1" x14ac:dyDescent="0.35">
      <c r="A153" s="398"/>
      <c r="B153" s="399"/>
      <c r="C153" s="400"/>
      <c r="D153" s="409"/>
      <c r="E153" s="401"/>
      <c r="F153" s="411"/>
      <c r="G153" s="402">
        <f t="shared" si="5"/>
        <v>0</v>
      </c>
    </row>
    <row r="154" spans="1:7" s="160" customFormat="1" x14ac:dyDescent="0.35">
      <c r="A154" s="398"/>
      <c r="B154" s="399"/>
      <c r="C154" s="400"/>
      <c r="D154" s="409"/>
      <c r="E154" s="401"/>
      <c r="F154" s="411"/>
      <c r="G154" s="402">
        <f t="shared" si="5"/>
        <v>0</v>
      </c>
    </row>
    <row r="155" spans="1:7" s="160" customFormat="1" ht="24" thickBot="1" x14ac:dyDescent="0.4">
      <c r="A155" s="398"/>
      <c r="B155" s="399"/>
      <c r="C155" s="400"/>
      <c r="D155" s="409"/>
      <c r="E155" s="401"/>
      <c r="F155" s="411"/>
      <c r="G155" s="402">
        <f t="shared" si="5"/>
        <v>0</v>
      </c>
    </row>
    <row r="156" spans="1:7" s="160" customFormat="1" ht="24" thickBot="1" x14ac:dyDescent="0.4">
      <c r="A156" s="398"/>
      <c r="B156" s="399"/>
      <c r="C156" s="404" t="s">
        <v>760</v>
      </c>
      <c r="D156" s="409"/>
      <c r="E156" s="401"/>
      <c r="F156" s="411"/>
      <c r="G156" s="405">
        <f>SUM(G136:G155)</f>
        <v>0</v>
      </c>
    </row>
    <row r="157" spans="1:7" s="160" customFormat="1" ht="24" thickBot="1" x14ac:dyDescent="0.4">
      <c r="A157" s="398"/>
      <c r="B157" s="399"/>
      <c r="C157" s="400"/>
      <c r="D157" s="409"/>
      <c r="E157" s="401"/>
      <c r="F157" s="411"/>
      <c r="G157" s="402">
        <f t="shared" si="5"/>
        <v>0</v>
      </c>
    </row>
    <row r="158" spans="1:7" x14ac:dyDescent="0.35">
      <c r="A158" s="383"/>
      <c r="B158" s="384"/>
      <c r="C158" s="385"/>
      <c r="D158" s="386"/>
      <c r="E158" s="387"/>
      <c r="F158" s="410"/>
      <c r="G158" s="387"/>
    </row>
    <row r="159" spans="1:7" s="160" customFormat="1" x14ac:dyDescent="0.35">
      <c r="A159" s="388"/>
      <c r="B159" s="389"/>
      <c r="C159" s="390"/>
      <c r="D159" s="391"/>
      <c r="E159" s="391"/>
      <c r="F159" s="393" t="s">
        <v>2</v>
      </c>
      <c r="G159" s="393"/>
    </row>
    <row r="160" spans="1:7" s="160" customFormat="1" ht="24" thickBot="1" x14ac:dyDescent="0.4">
      <c r="A160" s="394"/>
      <c r="B160" s="395"/>
      <c r="C160" s="396" t="s">
        <v>753</v>
      </c>
      <c r="D160" s="397" t="s">
        <v>3</v>
      </c>
      <c r="E160" s="397" t="s">
        <v>1</v>
      </c>
      <c r="F160" s="397" t="s">
        <v>4</v>
      </c>
      <c r="G160" s="397" t="s">
        <v>5</v>
      </c>
    </row>
    <row r="161" spans="1:7" s="160" customFormat="1" x14ac:dyDescent="0.35">
      <c r="A161" s="398"/>
      <c r="B161" s="399"/>
      <c r="C161" s="400"/>
      <c r="D161" s="409"/>
      <c r="E161" s="401"/>
      <c r="F161" s="411"/>
      <c r="G161" s="402">
        <f t="shared" ref="G161:G163" si="6">ROUND(D161*F161,2)</f>
        <v>0</v>
      </c>
    </row>
    <row r="162" spans="1:7" s="160" customFormat="1" ht="46.5" x14ac:dyDescent="0.35">
      <c r="A162" s="398"/>
      <c r="B162" s="399"/>
      <c r="C162" s="403" t="s">
        <v>792</v>
      </c>
      <c r="D162" s="409"/>
      <c r="E162" s="401"/>
      <c r="F162" s="411"/>
      <c r="G162" s="402">
        <f t="shared" si="6"/>
        <v>0</v>
      </c>
    </row>
    <row r="163" spans="1:7" s="160" customFormat="1" x14ac:dyDescent="0.35">
      <c r="A163" s="398"/>
      <c r="B163" s="399"/>
      <c r="C163" s="400"/>
      <c r="D163" s="409"/>
      <c r="E163" s="401"/>
      <c r="F163" s="411"/>
      <c r="G163" s="402">
        <f t="shared" si="6"/>
        <v>0</v>
      </c>
    </row>
    <row r="164" spans="1:7" s="160" customFormat="1" ht="232.5" x14ac:dyDescent="0.35">
      <c r="A164" s="398"/>
      <c r="B164" s="399"/>
      <c r="C164" s="400" t="s">
        <v>891</v>
      </c>
      <c r="D164" s="409">
        <v>58</v>
      </c>
      <c r="E164" s="401" t="s">
        <v>772</v>
      </c>
      <c r="F164" s="411"/>
      <c r="G164" s="402">
        <f>D164*F164</f>
        <v>0</v>
      </c>
    </row>
    <row r="165" spans="1:7" s="160" customFormat="1" x14ac:dyDescent="0.35">
      <c r="A165" s="398"/>
      <c r="B165" s="399"/>
      <c r="C165" s="400"/>
      <c r="D165" s="409"/>
      <c r="E165" s="401"/>
      <c r="F165" s="411"/>
      <c r="G165" s="402">
        <f t="shared" ref="G165:G214" si="7">ROUND(D165*F165,2)</f>
        <v>0</v>
      </c>
    </row>
    <row r="166" spans="1:7" s="160" customFormat="1" ht="232.5" x14ac:dyDescent="0.35">
      <c r="A166" s="398"/>
      <c r="B166" s="399"/>
      <c r="C166" s="400" t="s">
        <v>793</v>
      </c>
      <c r="D166" s="409">
        <v>65</v>
      </c>
      <c r="E166" s="401" t="s">
        <v>468</v>
      </c>
      <c r="F166" s="411"/>
      <c r="G166" s="402">
        <f>D166*F166</f>
        <v>0</v>
      </c>
    </row>
    <row r="167" spans="1:7" s="160" customFormat="1" x14ac:dyDescent="0.35">
      <c r="A167" s="398"/>
      <c r="B167" s="399"/>
      <c r="C167" s="400"/>
      <c r="D167" s="409"/>
      <c r="E167" s="401"/>
      <c r="F167" s="411"/>
      <c r="G167" s="402">
        <f t="shared" si="7"/>
        <v>0</v>
      </c>
    </row>
    <row r="168" spans="1:7" s="160" customFormat="1" ht="63.75" customHeight="1" x14ac:dyDescent="0.35">
      <c r="A168" s="398"/>
      <c r="B168" s="399"/>
      <c r="C168" s="413"/>
      <c r="D168" s="409"/>
      <c r="E168" s="401"/>
      <c r="F168" s="411"/>
      <c r="G168" s="402"/>
    </row>
    <row r="169" spans="1:7" s="160" customFormat="1" ht="87" customHeight="1" x14ac:dyDescent="0.35">
      <c r="A169" s="398"/>
      <c r="B169" s="399"/>
      <c r="C169" s="400"/>
      <c r="D169" s="409"/>
      <c r="E169" s="401"/>
      <c r="F169" s="411"/>
      <c r="G169" s="402"/>
    </row>
    <row r="170" spans="1:7" s="160" customFormat="1" ht="69.75" customHeight="1" x14ac:dyDescent="0.35">
      <c r="A170" s="398"/>
      <c r="B170" s="399"/>
      <c r="C170" s="400"/>
      <c r="D170" s="409"/>
      <c r="E170" s="401"/>
      <c r="F170" s="411"/>
      <c r="G170" s="402"/>
    </row>
    <row r="171" spans="1:7" s="160" customFormat="1" ht="95.25" customHeight="1" x14ac:dyDescent="0.35">
      <c r="A171" s="398"/>
      <c r="B171" s="399"/>
      <c r="C171" s="400"/>
      <c r="D171" s="409"/>
      <c r="E171" s="401"/>
      <c r="F171" s="411"/>
      <c r="G171" s="402"/>
    </row>
    <row r="172" spans="1:7" s="160" customFormat="1" x14ac:dyDescent="0.35">
      <c r="A172" s="398"/>
      <c r="B172" s="399"/>
      <c r="C172" s="400"/>
      <c r="D172" s="409"/>
      <c r="E172" s="401"/>
      <c r="F172" s="411"/>
      <c r="G172" s="402"/>
    </row>
    <row r="173" spans="1:7" s="160" customFormat="1" x14ac:dyDescent="0.35">
      <c r="A173" s="398"/>
      <c r="B173" s="399"/>
      <c r="C173" s="400"/>
      <c r="D173" s="409"/>
      <c r="E173" s="401"/>
      <c r="F173" s="411"/>
      <c r="G173" s="402">
        <f t="shared" ref="G173" si="8">ROUND(D173*F173,2)</f>
        <v>0</v>
      </c>
    </row>
    <row r="174" spans="1:7" s="160" customFormat="1" ht="69.75" x14ac:dyDescent="0.35">
      <c r="A174" s="398"/>
      <c r="B174" s="399"/>
      <c r="C174" s="400" t="s">
        <v>794</v>
      </c>
      <c r="D174" s="409">
        <v>1</v>
      </c>
      <c r="E174" s="401" t="s">
        <v>756</v>
      </c>
      <c r="F174" s="411"/>
      <c r="G174" s="402">
        <f>D174*F174</f>
        <v>0</v>
      </c>
    </row>
    <row r="175" spans="1:7" s="160" customFormat="1" x14ac:dyDescent="0.35">
      <c r="A175" s="398"/>
      <c r="B175" s="399"/>
      <c r="C175" s="400"/>
      <c r="D175" s="409"/>
      <c r="E175" s="401"/>
      <c r="F175" s="411"/>
      <c r="G175" s="402">
        <f t="shared" si="7"/>
        <v>0</v>
      </c>
    </row>
    <row r="176" spans="1:7" s="160" customFormat="1" ht="24" thickBot="1" x14ac:dyDescent="0.4">
      <c r="A176" s="398"/>
      <c r="B176" s="399"/>
      <c r="C176" s="400"/>
      <c r="D176" s="409"/>
      <c r="E176" s="401"/>
      <c r="F176" s="411"/>
      <c r="G176" s="402">
        <f t="shared" si="7"/>
        <v>0</v>
      </c>
    </row>
    <row r="177" spans="1:7" s="160" customFormat="1" ht="24" thickBot="1" x14ac:dyDescent="0.4">
      <c r="A177" s="398"/>
      <c r="B177" s="399"/>
      <c r="C177" s="404" t="s">
        <v>760</v>
      </c>
      <c r="D177" s="409"/>
      <c r="E177" s="401"/>
      <c r="F177" s="411"/>
      <c r="G177" s="405">
        <f>SUM(G162:G176)</f>
        <v>0</v>
      </c>
    </row>
    <row r="178" spans="1:7" s="160" customFormat="1" ht="24" thickBot="1" x14ac:dyDescent="0.4">
      <c r="A178" s="398"/>
      <c r="B178" s="399"/>
      <c r="C178" s="400"/>
      <c r="D178" s="409"/>
      <c r="E178" s="401"/>
      <c r="F178" s="411"/>
      <c r="G178" s="402">
        <f t="shared" si="7"/>
        <v>0</v>
      </c>
    </row>
    <row r="179" spans="1:7" ht="18" customHeight="1" x14ac:dyDescent="0.35">
      <c r="A179" s="383"/>
      <c r="B179" s="384"/>
      <c r="C179" s="385"/>
      <c r="D179" s="386"/>
      <c r="E179" s="387"/>
      <c r="F179" s="410"/>
      <c r="G179" s="387"/>
    </row>
    <row r="180" spans="1:7" s="160" customFormat="1" x14ac:dyDescent="0.35">
      <c r="A180" s="388"/>
      <c r="B180" s="389"/>
      <c r="C180" s="390"/>
      <c r="D180" s="391"/>
      <c r="E180" s="391"/>
      <c r="F180" s="393" t="s">
        <v>2</v>
      </c>
      <c r="G180" s="393"/>
    </row>
    <row r="181" spans="1:7" s="160" customFormat="1" ht="24" thickBot="1" x14ac:dyDescent="0.4">
      <c r="A181" s="394"/>
      <c r="B181" s="395"/>
      <c r="C181" s="396" t="s">
        <v>753</v>
      </c>
      <c r="D181" s="397" t="s">
        <v>3</v>
      </c>
      <c r="E181" s="397" t="s">
        <v>1</v>
      </c>
      <c r="F181" s="397" t="s">
        <v>4</v>
      </c>
      <c r="G181" s="397" t="s">
        <v>5</v>
      </c>
    </row>
    <row r="182" spans="1:7" s="160" customFormat="1" ht="18" customHeight="1" x14ac:dyDescent="0.35">
      <c r="A182" s="398"/>
      <c r="B182" s="399"/>
      <c r="C182" s="400"/>
      <c r="D182" s="409"/>
      <c r="E182" s="401"/>
      <c r="F182" s="411"/>
      <c r="G182" s="402">
        <f t="shared" si="7"/>
        <v>0</v>
      </c>
    </row>
    <row r="183" spans="1:7" s="160" customFormat="1" x14ac:dyDescent="0.35">
      <c r="A183" s="398"/>
      <c r="B183" s="399"/>
      <c r="C183" s="412" t="s">
        <v>798</v>
      </c>
      <c r="D183" s="409"/>
      <c r="E183" s="401"/>
      <c r="F183" s="411"/>
      <c r="G183" s="402">
        <f t="shared" si="7"/>
        <v>0</v>
      </c>
    </row>
    <row r="184" spans="1:7" s="160" customFormat="1" ht="16.5" customHeight="1" x14ac:dyDescent="0.35">
      <c r="A184" s="398"/>
      <c r="B184" s="399"/>
      <c r="C184" s="400"/>
      <c r="D184" s="409"/>
      <c r="E184" s="401"/>
      <c r="F184" s="411"/>
      <c r="G184" s="402">
        <f t="shared" si="7"/>
        <v>0</v>
      </c>
    </row>
    <row r="185" spans="1:7" s="160" customFormat="1" ht="93" x14ac:dyDescent="0.35">
      <c r="A185" s="398"/>
      <c r="B185" s="399"/>
      <c r="C185" s="400" t="s">
        <v>800</v>
      </c>
      <c r="D185" s="409">
        <v>1</v>
      </c>
      <c r="E185" s="401" t="s">
        <v>756</v>
      </c>
      <c r="F185" s="411"/>
      <c r="G185" s="402">
        <f>D185*F185</f>
        <v>0</v>
      </c>
    </row>
    <row r="186" spans="1:7" s="160" customFormat="1" ht="15.75" customHeight="1" x14ac:dyDescent="0.35">
      <c r="A186" s="398"/>
      <c r="B186" s="399"/>
      <c r="C186" s="400"/>
      <c r="D186" s="409"/>
      <c r="E186" s="401"/>
      <c r="F186" s="411"/>
      <c r="G186" s="402">
        <f t="shared" si="7"/>
        <v>0</v>
      </c>
    </row>
    <row r="187" spans="1:7" s="160" customFormat="1" ht="93" x14ac:dyDescent="0.35">
      <c r="A187" s="398"/>
      <c r="B187" s="399"/>
      <c r="C187" s="400" t="s">
        <v>799</v>
      </c>
      <c r="D187" s="409">
        <v>1</v>
      </c>
      <c r="E187" s="401" t="s">
        <v>756</v>
      </c>
      <c r="F187" s="411"/>
      <c r="G187" s="402">
        <f>D187*F187</f>
        <v>0</v>
      </c>
    </row>
    <row r="188" spans="1:7" s="160" customFormat="1" ht="18.75" customHeight="1" x14ac:dyDescent="0.35">
      <c r="A188" s="398"/>
      <c r="B188" s="399"/>
      <c r="C188" s="400"/>
      <c r="D188" s="409"/>
      <c r="E188" s="401"/>
      <c r="F188" s="411"/>
      <c r="G188" s="402">
        <f t="shared" si="7"/>
        <v>0</v>
      </c>
    </row>
    <row r="189" spans="1:7" s="160" customFormat="1" ht="93" x14ac:dyDescent="0.35">
      <c r="A189" s="398"/>
      <c r="B189" s="399"/>
      <c r="C189" s="400" t="s">
        <v>801</v>
      </c>
      <c r="D189" s="409">
        <v>1</v>
      </c>
      <c r="E189" s="401" t="s">
        <v>756</v>
      </c>
      <c r="F189" s="411"/>
      <c r="G189" s="402">
        <f>D189*F189</f>
        <v>0</v>
      </c>
    </row>
    <row r="190" spans="1:7" s="160" customFormat="1" ht="16.5" customHeight="1" x14ac:dyDescent="0.35">
      <c r="A190" s="398"/>
      <c r="B190" s="399"/>
      <c r="C190" s="400"/>
      <c r="D190" s="409"/>
      <c r="E190" s="401"/>
      <c r="F190" s="411"/>
      <c r="G190" s="402">
        <f t="shared" si="7"/>
        <v>0</v>
      </c>
    </row>
    <row r="191" spans="1:7" s="160" customFormat="1" ht="93" x14ac:dyDescent="0.35">
      <c r="A191" s="398"/>
      <c r="B191" s="399"/>
      <c r="C191" s="400" t="s">
        <v>802</v>
      </c>
      <c r="D191" s="409">
        <v>1</v>
      </c>
      <c r="E191" s="401" t="s">
        <v>756</v>
      </c>
      <c r="F191" s="411"/>
      <c r="G191" s="402">
        <f>D191*F191</f>
        <v>0</v>
      </c>
    </row>
    <row r="192" spans="1:7" s="160" customFormat="1" ht="16.5" customHeight="1" x14ac:dyDescent="0.35">
      <c r="A192" s="398"/>
      <c r="B192" s="399"/>
      <c r="C192" s="400"/>
      <c r="D192" s="409"/>
      <c r="E192" s="401"/>
      <c r="F192" s="411"/>
      <c r="G192" s="402">
        <f t="shared" si="7"/>
        <v>0</v>
      </c>
    </row>
    <row r="193" spans="1:7" s="160" customFormat="1" ht="69.75" x14ac:dyDescent="0.35">
      <c r="A193" s="398"/>
      <c r="B193" s="399"/>
      <c r="C193" s="400" t="s">
        <v>817</v>
      </c>
      <c r="D193" s="409">
        <v>6</v>
      </c>
      <c r="E193" s="401" t="s">
        <v>761</v>
      </c>
      <c r="F193" s="411"/>
      <c r="G193" s="402">
        <f>D193*F193</f>
        <v>0</v>
      </c>
    </row>
    <row r="194" spans="1:7" s="160" customFormat="1" ht="18" customHeight="1" x14ac:dyDescent="0.35">
      <c r="A194" s="398"/>
      <c r="B194" s="399"/>
      <c r="C194" s="400"/>
      <c r="D194" s="409"/>
      <c r="E194" s="401"/>
      <c r="F194" s="411"/>
      <c r="G194" s="402">
        <f t="shared" si="7"/>
        <v>0</v>
      </c>
    </row>
    <row r="195" spans="1:7" s="160" customFormat="1" ht="93" x14ac:dyDescent="0.35">
      <c r="A195" s="398"/>
      <c r="B195" s="399"/>
      <c r="C195" s="400" t="s">
        <v>892</v>
      </c>
      <c r="D195" s="409">
        <v>35</v>
      </c>
      <c r="E195" s="401" t="s">
        <v>468</v>
      </c>
      <c r="F195" s="411"/>
      <c r="G195" s="402">
        <f>D195*F195</f>
        <v>0</v>
      </c>
    </row>
    <row r="196" spans="1:7" s="160" customFormat="1" ht="19.5" customHeight="1" x14ac:dyDescent="0.35">
      <c r="A196" s="398"/>
      <c r="B196" s="399"/>
      <c r="C196" s="400"/>
      <c r="D196" s="409"/>
      <c r="E196" s="401"/>
      <c r="F196" s="411"/>
      <c r="G196" s="402">
        <f t="shared" si="7"/>
        <v>0</v>
      </c>
    </row>
    <row r="197" spans="1:7" s="160" customFormat="1" ht="69.75" x14ac:dyDescent="0.35">
      <c r="A197" s="398"/>
      <c r="B197" s="399"/>
      <c r="C197" s="400" t="s">
        <v>840</v>
      </c>
      <c r="D197" s="409">
        <v>340</v>
      </c>
      <c r="E197" s="401" t="s">
        <v>772</v>
      </c>
      <c r="F197" s="411"/>
      <c r="G197" s="402">
        <f>D197*F197</f>
        <v>0</v>
      </c>
    </row>
    <row r="198" spans="1:7" s="160" customFormat="1" ht="19.5" customHeight="1" x14ac:dyDescent="0.35">
      <c r="A198" s="398"/>
      <c r="B198" s="399"/>
      <c r="C198" s="400"/>
      <c r="D198" s="409"/>
      <c r="E198" s="401"/>
      <c r="F198" s="411"/>
      <c r="G198" s="402">
        <f t="shared" si="7"/>
        <v>0</v>
      </c>
    </row>
    <row r="199" spans="1:7" s="160" customFormat="1" ht="116.25" x14ac:dyDescent="0.35">
      <c r="A199" s="398"/>
      <c r="B199" s="399"/>
      <c r="C199" s="400" t="s">
        <v>839</v>
      </c>
      <c r="D199" s="409">
        <v>92</v>
      </c>
      <c r="E199" s="401" t="s">
        <v>772</v>
      </c>
      <c r="F199" s="411"/>
      <c r="G199" s="402">
        <f>D199*F199</f>
        <v>0</v>
      </c>
    </row>
    <row r="200" spans="1:7" s="160" customFormat="1" ht="18" customHeight="1" x14ac:dyDescent="0.35">
      <c r="A200" s="398"/>
      <c r="B200" s="399"/>
      <c r="C200" s="400"/>
      <c r="D200" s="409"/>
      <c r="E200" s="401"/>
      <c r="F200" s="411"/>
      <c r="G200" s="402">
        <f t="shared" si="7"/>
        <v>0</v>
      </c>
    </row>
    <row r="201" spans="1:7" s="160" customFormat="1" ht="139.5" x14ac:dyDescent="0.35">
      <c r="A201" s="398"/>
      <c r="B201" s="399"/>
      <c r="C201" s="400" t="s">
        <v>842</v>
      </c>
      <c r="D201" s="409">
        <v>6</v>
      </c>
      <c r="E201" s="401" t="s">
        <v>761</v>
      </c>
      <c r="F201" s="411"/>
      <c r="G201" s="402">
        <f>D201*F201</f>
        <v>0</v>
      </c>
    </row>
    <row r="202" spans="1:7" s="160" customFormat="1" ht="24" thickBot="1" x14ac:dyDescent="0.4">
      <c r="A202" s="398"/>
      <c r="B202" s="399"/>
      <c r="C202" s="400"/>
      <c r="D202" s="409"/>
      <c r="E202" s="401"/>
      <c r="F202" s="411"/>
      <c r="G202" s="402">
        <f t="shared" si="7"/>
        <v>0</v>
      </c>
    </row>
    <row r="203" spans="1:7" s="160" customFormat="1" ht="24" thickBot="1" x14ac:dyDescent="0.4">
      <c r="A203" s="398"/>
      <c r="B203" s="399"/>
      <c r="C203" s="404" t="s">
        <v>760</v>
      </c>
      <c r="D203" s="409"/>
      <c r="E203" s="401"/>
      <c r="F203" s="411"/>
      <c r="G203" s="405">
        <f>SUM(G184:G202)</f>
        <v>0</v>
      </c>
    </row>
    <row r="204" spans="1:7" s="160" customFormat="1" ht="24" thickBot="1" x14ac:dyDescent="0.4">
      <c r="A204" s="398"/>
      <c r="B204" s="399"/>
      <c r="C204" s="400"/>
      <c r="D204" s="409"/>
      <c r="E204" s="401"/>
      <c r="F204" s="411"/>
      <c r="G204" s="402">
        <f t="shared" si="7"/>
        <v>0</v>
      </c>
    </row>
    <row r="205" spans="1:7" ht="18.75" customHeight="1" x14ac:dyDescent="0.35">
      <c r="A205" s="383"/>
      <c r="B205" s="384"/>
      <c r="C205" s="385"/>
      <c r="D205" s="386"/>
      <c r="E205" s="387"/>
      <c r="F205" s="410"/>
      <c r="G205" s="387"/>
    </row>
    <row r="206" spans="1:7" s="160" customFormat="1" ht="18" customHeight="1" x14ac:dyDescent="0.35">
      <c r="A206" s="388"/>
      <c r="B206" s="389"/>
      <c r="C206" s="390"/>
      <c r="D206" s="391"/>
      <c r="E206" s="391"/>
      <c r="F206" s="393" t="s">
        <v>2</v>
      </c>
      <c r="G206" s="393"/>
    </row>
    <row r="207" spans="1:7" s="160" customFormat="1" ht="24" thickBot="1" x14ac:dyDescent="0.4">
      <c r="A207" s="394"/>
      <c r="B207" s="395"/>
      <c r="C207" s="396" t="s">
        <v>753</v>
      </c>
      <c r="D207" s="397" t="s">
        <v>3</v>
      </c>
      <c r="E207" s="397" t="s">
        <v>1</v>
      </c>
      <c r="F207" s="397" t="s">
        <v>4</v>
      </c>
      <c r="G207" s="397" t="s">
        <v>5</v>
      </c>
    </row>
    <row r="208" spans="1:7" s="160" customFormat="1" x14ac:dyDescent="0.35">
      <c r="A208" s="398"/>
      <c r="B208" s="399"/>
      <c r="C208" s="400"/>
      <c r="D208" s="409"/>
      <c r="E208" s="401"/>
      <c r="F208" s="411"/>
      <c r="G208" s="402">
        <f t="shared" ref="G208" si="9">ROUND(D208*F208,2)</f>
        <v>0</v>
      </c>
    </row>
    <row r="209" spans="1:7" s="160" customFormat="1" x14ac:dyDescent="0.35">
      <c r="A209" s="398"/>
      <c r="B209" s="399"/>
      <c r="C209" s="412" t="s">
        <v>803</v>
      </c>
      <c r="D209" s="409"/>
      <c r="E209" s="401"/>
      <c r="F209" s="411"/>
      <c r="G209" s="402">
        <f t="shared" si="7"/>
        <v>0</v>
      </c>
    </row>
    <row r="210" spans="1:7" s="160" customFormat="1" ht="18.75" customHeight="1" x14ac:dyDescent="0.35">
      <c r="A210" s="398"/>
      <c r="B210" s="399"/>
      <c r="C210" s="400"/>
      <c r="D210" s="409"/>
      <c r="E210" s="401"/>
      <c r="F210" s="411"/>
      <c r="G210" s="402">
        <f t="shared" si="7"/>
        <v>0</v>
      </c>
    </row>
    <row r="211" spans="1:7" s="160" customFormat="1" ht="69.75" x14ac:dyDescent="0.35">
      <c r="A211" s="398"/>
      <c r="B211" s="399"/>
      <c r="C211" s="400" t="s">
        <v>893</v>
      </c>
      <c r="D211" s="409">
        <v>54</v>
      </c>
      <c r="E211" s="401" t="s">
        <v>777</v>
      </c>
      <c r="F211" s="411"/>
      <c r="G211" s="402">
        <f>D211*F211</f>
        <v>0</v>
      </c>
    </row>
    <row r="212" spans="1:7" s="160" customFormat="1" ht="18.75" customHeight="1" x14ac:dyDescent="0.35">
      <c r="A212" s="398"/>
      <c r="B212" s="399"/>
      <c r="C212" s="400"/>
      <c r="D212" s="409"/>
      <c r="E212" s="401"/>
      <c r="F212" s="411"/>
      <c r="G212" s="402">
        <f t="shared" si="7"/>
        <v>0</v>
      </c>
    </row>
    <row r="213" spans="1:7" s="160" customFormat="1" ht="46.5" x14ac:dyDescent="0.35">
      <c r="A213" s="398"/>
      <c r="B213" s="399"/>
      <c r="C213" s="400" t="s">
        <v>804</v>
      </c>
      <c r="D213" s="409">
        <v>12</v>
      </c>
      <c r="E213" s="401" t="s">
        <v>777</v>
      </c>
      <c r="F213" s="411"/>
      <c r="G213" s="402">
        <f>D213*F213</f>
        <v>0</v>
      </c>
    </row>
    <row r="214" spans="1:7" s="160" customFormat="1" ht="15" customHeight="1" x14ac:dyDescent="0.35">
      <c r="A214" s="398"/>
      <c r="B214" s="399"/>
      <c r="C214" s="400"/>
      <c r="D214" s="409"/>
      <c r="E214" s="401"/>
      <c r="F214" s="411"/>
      <c r="G214" s="402">
        <f t="shared" si="7"/>
        <v>0</v>
      </c>
    </row>
    <row r="215" spans="1:7" s="160" customFormat="1" x14ac:dyDescent="0.35">
      <c r="A215" s="398"/>
      <c r="B215" s="399"/>
      <c r="C215" s="400" t="s">
        <v>805</v>
      </c>
      <c r="D215" s="409">
        <v>12</v>
      </c>
      <c r="E215" s="401" t="s">
        <v>777</v>
      </c>
      <c r="F215" s="411"/>
      <c r="G215" s="402">
        <f>D215*F215</f>
        <v>0</v>
      </c>
    </row>
    <row r="216" spans="1:7" s="160" customFormat="1" ht="15" customHeight="1" x14ac:dyDescent="0.35">
      <c r="A216" s="398"/>
      <c r="B216" s="399"/>
      <c r="C216" s="400"/>
      <c r="D216" s="409"/>
      <c r="E216" s="401"/>
      <c r="F216" s="411"/>
      <c r="G216" s="402">
        <f t="shared" ref="G216" si="10">ROUND(D216*F216,2)</f>
        <v>0</v>
      </c>
    </row>
    <row r="217" spans="1:7" s="160" customFormat="1" x14ac:dyDescent="0.35">
      <c r="A217" s="398"/>
      <c r="B217" s="399"/>
      <c r="C217" s="400" t="s">
        <v>806</v>
      </c>
      <c r="D217" s="409">
        <v>6</v>
      </c>
      <c r="E217" s="401" t="s">
        <v>777</v>
      </c>
      <c r="F217" s="411"/>
      <c r="G217" s="402">
        <f>D217*F217</f>
        <v>0</v>
      </c>
    </row>
    <row r="218" spans="1:7" s="160" customFormat="1" ht="15" customHeight="1" x14ac:dyDescent="0.35">
      <c r="A218" s="398"/>
      <c r="B218" s="399"/>
      <c r="C218" s="400"/>
      <c r="D218" s="409"/>
      <c r="E218" s="401"/>
      <c r="F218" s="411"/>
      <c r="G218" s="402">
        <f t="shared" ref="G218:G226" si="11">ROUND(D218*F218,2)</f>
        <v>0</v>
      </c>
    </row>
    <row r="219" spans="1:7" s="160" customFormat="1" x14ac:dyDescent="0.35">
      <c r="A219" s="398"/>
      <c r="B219" s="399"/>
      <c r="C219" s="400" t="s">
        <v>807</v>
      </c>
      <c r="D219" s="409">
        <v>12</v>
      </c>
      <c r="E219" s="401" t="s">
        <v>777</v>
      </c>
      <c r="F219" s="411"/>
      <c r="G219" s="402">
        <f>D219*F219</f>
        <v>0</v>
      </c>
    </row>
    <row r="220" spans="1:7" s="160" customFormat="1" ht="15" customHeight="1" x14ac:dyDescent="0.35">
      <c r="A220" s="398"/>
      <c r="B220" s="399"/>
      <c r="C220" s="400"/>
      <c r="D220" s="409"/>
      <c r="E220" s="401"/>
      <c r="F220" s="411"/>
      <c r="G220" s="402">
        <f t="shared" si="11"/>
        <v>0</v>
      </c>
    </row>
    <row r="221" spans="1:7" s="160" customFormat="1" ht="69.75" x14ac:dyDescent="0.35">
      <c r="A221" s="398"/>
      <c r="B221" s="399"/>
      <c r="C221" s="400" t="s">
        <v>816</v>
      </c>
      <c r="D221" s="409">
        <v>6</v>
      </c>
      <c r="E221" s="401" t="s">
        <v>777</v>
      </c>
      <c r="F221" s="411"/>
      <c r="G221" s="402">
        <f>D221*F221</f>
        <v>0</v>
      </c>
    </row>
    <row r="222" spans="1:7" s="160" customFormat="1" ht="17.25" customHeight="1" x14ac:dyDescent="0.35">
      <c r="A222" s="398"/>
      <c r="B222" s="399"/>
      <c r="C222" s="400"/>
      <c r="D222" s="409"/>
      <c r="E222" s="401"/>
      <c r="F222" s="411"/>
      <c r="G222" s="402">
        <f t="shared" si="11"/>
        <v>0</v>
      </c>
    </row>
    <row r="223" spans="1:7" s="160" customFormat="1" ht="69.75" x14ac:dyDescent="0.35">
      <c r="A223" s="398"/>
      <c r="B223" s="399"/>
      <c r="C223" s="400" t="s">
        <v>808</v>
      </c>
      <c r="D223" s="409">
        <v>6</v>
      </c>
      <c r="E223" s="401" t="s">
        <v>777</v>
      </c>
      <c r="F223" s="411"/>
      <c r="G223" s="402">
        <f>D223*F223</f>
        <v>0</v>
      </c>
    </row>
    <row r="224" spans="1:7" s="160" customFormat="1" ht="15" customHeight="1" x14ac:dyDescent="0.35">
      <c r="A224" s="398"/>
      <c r="B224" s="399"/>
      <c r="C224" s="400"/>
      <c r="D224" s="409"/>
      <c r="E224" s="401"/>
      <c r="F224" s="411"/>
      <c r="G224" s="402">
        <f t="shared" si="11"/>
        <v>0</v>
      </c>
    </row>
    <row r="225" spans="1:7" s="160" customFormat="1" ht="46.5" x14ac:dyDescent="0.35">
      <c r="A225" s="398"/>
      <c r="B225" s="399"/>
      <c r="C225" s="400" t="s">
        <v>809</v>
      </c>
      <c r="D225" s="409">
        <v>6</v>
      </c>
      <c r="E225" s="401" t="s">
        <v>810</v>
      </c>
      <c r="F225" s="411"/>
      <c r="G225" s="402">
        <f>D225*F225</f>
        <v>0</v>
      </c>
    </row>
    <row r="226" spans="1:7" s="160" customFormat="1" ht="16.5" customHeight="1" x14ac:dyDescent="0.35">
      <c r="A226" s="398"/>
      <c r="B226" s="399"/>
      <c r="C226" s="400"/>
      <c r="D226" s="409"/>
      <c r="E226" s="401"/>
      <c r="F226" s="411"/>
      <c r="G226" s="402">
        <f t="shared" si="11"/>
        <v>0</v>
      </c>
    </row>
    <row r="227" spans="1:7" ht="46.5" x14ac:dyDescent="0.35">
      <c r="C227" s="400" t="s">
        <v>812</v>
      </c>
      <c r="D227" s="409">
        <v>6</v>
      </c>
      <c r="E227" s="401" t="s">
        <v>777</v>
      </c>
      <c r="G227" s="402">
        <f>D227*F227</f>
        <v>0</v>
      </c>
    </row>
    <row r="228" spans="1:7" s="160" customFormat="1" ht="16.5" customHeight="1" x14ac:dyDescent="0.35">
      <c r="A228" s="398"/>
      <c r="B228" s="399"/>
      <c r="C228" s="400"/>
      <c r="D228" s="409"/>
      <c r="E228" s="401"/>
      <c r="F228" s="411"/>
      <c r="G228" s="402">
        <f t="shared" ref="G228" si="12">ROUND(D228*F228,2)</f>
        <v>0</v>
      </c>
    </row>
    <row r="229" spans="1:7" ht="46.5" x14ac:dyDescent="0.35">
      <c r="C229" s="400" t="s">
        <v>813</v>
      </c>
      <c r="D229" s="393">
        <v>12</v>
      </c>
      <c r="E229" s="401" t="s">
        <v>777</v>
      </c>
      <c r="G229" s="402">
        <f>D229*F229</f>
        <v>0</v>
      </c>
    </row>
    <row r="230" spans="1:7" s="160" customFormat="1" x14ac:dyDescent="0.35">
      <c r="A230" s="398"/>
      <c r="B230" s="399"/>
      <c r="C230" s="400"/>
      <c r="D230" s="409"/>
      <c r="E230" s="401"/>
      <c r="F230" s="411"/>
      <c r="G230" s="402">
        <f t="shared" ref="G230" si="13">ROUND(D230*F230,2)</f>
        <v>0</v>
      </c>
    </row>
    <row r="231" spans="1:7" ht="46.5" x14ac:dyDescent="0.35">
      <c r="C231" s="400" t="s">
        <v>811</v>
      </c>
      <c r="D231" s="393">
        <v>12</v>
      </c>
      <c r="E231" s="401" t="s">
        <v>777</v>
      </c>
      <c r="G231" s="402">
        <f>D231*F231</f>
        <v>0</v>
      </c>
    </row>
    <row r="232" spans="1:7" s="160" customFormat="1" x14ac:dyDescent="0.35">
      <c r="A232" s="398"/>
      <c r="B232" s="399"/>
      <c r="C232" s="400"/>
      <c r="D232" s="409"/>
      <c r="E232" s="401"/>
      <c r="F232" s="411"/>
      <c r="G232" s="402">
        <f t="shared" ref="G232" si="14">ROUND(D232*F232,2)</f>
        <v>0</v>
      </c>
    </row>
    <row r="233" spans="1:7" ht="46.5" x14ac:dyDescent="0.35">
      <c r="C233" s="400" t="s">
        <v>814</v>
      </c>
      <c r="D233" s="393">
        <v>6</v>
      </c>
      <c r="E233" s="401" t="s">
        <v>777</v>
      </c>
      <c r="G233" s="402">
        <f>D233*F233</f>
        <v>0</v>
      </c>
    </row>
    <row r="234" spans="1:7" s="160" customFormat="1" x14ac:dyDescent="0.35">
      <c r="A234" s="398"/>
      <c r="B234" s="399"/>
      <c r="C234" s="400"/>
      <c r="D234" s="409"/>
      <c r="E234" s="401"/>
      <c r="F234" s="411"/>
      <c r="G234" s="402">
        <f t="shared" ref="G234" si="15">ROUND(D234*F234,2)</f>
        <v>0</v>
      </c>
    </row>
    <row r="235" spans="1:7" ht="46.5" x14ac:dyDescent="0.35">
      <c r="C235" s="400" t="s">
        <v>815</v>
      </c>
      <c r="D235" s="393">
        <v>6</v>
      </c>
      <c r="E235" s="401" t="s">
        <v>777</v>
      </c>
      <c r="G235" s="402">
        <f>D235*F235</f>
        <v>0</v>
      </c>
    </row>
    <row r="236" spans="1:7" s="160" customFormat="1" x14ac:dyDescent="0.35">
      <c r="A236" s="398"/>
      <c r="B236" s="399"/>
      <c r="C236" s="400"/>
      <c r="D236" s="409"/>
      <c r="E236" s="401"/>
      <c r="F236" s="411"/>
      <c r="G236" s="402">
        <f t="shared" ref="G236" si="16">ROUND(D236*F236,2)</f>
        <v>0</v>
      </c>
    </row>
    <row r="237" spans="1:7" s="160" customFormat="1" ht="116.25" x14ac:dyDescent="0.35">
      <c r="A237" s="398"/>
      <c r="B237" s="399"/>
      <c r="C237" s="400" t="s">
        <v>937</v>
      </c>
      <c r="D237" s="409">
        <v>6</v>
      </c>
      <c r="E237" s="401" t="s">
        <v>761</v>
      </c>
      <c r="F237" s="411"/>
      <c r="G237" s="402">
        <f>D237*F237</f>
        <v>0</v>
      </c>
    </row>
    <row r="238" spans="1:7" s="160" customFormat="1" x14ac:dyDescent="0.35">
      <c r="A238" s="398"/>
      <c r="B238" s="399"/>
      <c r="C238" s="400"/>
      <c r="D238" s="409"/>
      <c r="E238" s="401"/>
      <c r="F238" s="411"/>
      <c r="G238" s="402">
        <f t="shared" ref="G238:G247" si="17">ROUND(D238*F238,2)</f>
        <v>0</v>
      </c>
    </row>
    <row r="239" spans="1:7" s="160" customFormat="1" ht="46.5" x14ac:dyDescent="0.35">
      <c r="A239" s="398"/>
      <c r="B239" s="399"/>
      <c r="C239" s="400" t="s">
        <v>822</v>
      </c>
      <c r="D239" s="409">
        <v>42</v>
      </c>
      <c r="E239" s="401" t="s">
        <v>761</v>
      </c>
      <c r="F239" s="411"/>
      <c r="G239" s="402">
        <f>D239*F239</f>
        <v>0</v>
      </c>
    </row>
    <row r="240" spans="1:7" s="160" customFormat="1" ht="24" thickBot="1" x14ac:dyDescent="0.4">
      <c r="A240" s="398"/>
      <c r="B240" s="399"/>
      <c r="C240" s="400"/>
      <c r="D240" s="409"/>
      <c r="E240" s="401"/>
      <c r="F240" s="411"/>
      <c r="G240" s="402">
        <f t="shared" si="17"/>
        <v>0</v>
      </c>
    </row>
    <row r="241" spans="1:7" s="160" customFormat="1" ht="24" thickBot="1" x14ac:dyDescent="0.4">
      <c r="A241" s="398"/>
      <c r="B241" s="399"/>
      <c r="C241" s="404" t="s">
        <v>760</v>
      </c>
      <c r="D241" s="409"/>
      <c r="E241" s="401"/>
      <c r="F241" s="411"/>
      <c r="G241" s="405">
        <f>SUM(G210:G240)</f>
        <v>0</v>
      </c>
    </row>
    <row r="242" spans="1:7" ht="18.75" customHeight="1" x14ac:dyDescent="0.35">
      <c r="A242" s="383"/>
      <c r="B242" s="384"/>
      <c r="C242" s="385"/>
      <c r="D242" s="386"/>
      <c r="E242" s="387"/>
      <c r="F242" s="410"/>
      <c r="G242" s="387"/>
    </row>
    <row r="243" spans="1:7" s="160" customFormat="1" x14ac:dyDescent="0.35">
      <c r="A243" s="388"/>
      <c r="B243" s="389"/>
      <c r="C243" s="390"/>
      <c r="D243" s="391"/>
      <c r="E243" s="391"/>
      <c r="F243" s="393" t="s">
        <v>2</v>
      </c>
      <c r="G243" s="393"/>
    </row>
    <row r="244" spans="1:7" s="160" customFormat="1" ht="24" thickBot="1" x14ac:dyDescent="0.4">
      <c r="A244" s="394"/>
      <c r="B244" s="395"/>
      <c r="C244" s="396" t="s">
        <v>753</v>
      </c>
      <c r="D244" s="397" t="s">
        <v>3</v>
      </c>
      <c r="E244" s="397" t="s">
        <v>1</v>
      </c>
      <c r="F244" s="397" t="s">
        <v>4</v>
      </c>
      <c r="G244" s="397" t="s">
        <v>5</v>
      </c>
    </row>
    <row r="245" spans="1:7" s="160" customFormat="1" ht="18" customHeight="1" x14ac:dyDescent="0.35">
      <c r="A245" s="398"/>
      <c r="B245" s="399"/>
      <c r="C245" s="400"/>
      <c r="D245" s="409"/>
      <c r="E245" s="401"/>
      <c r="F245" s="411"/>
      <c r="G245" s="402">
        <f t="shared" si="17"/>
        <v>0</v>
      </c>
    </row>
    <row r="246" spans="1:7" s="160" customFormat="1" x14ac:dyDescent="0.35">
      <c r="A246" s="398"/>
      <c r="B246" s="399"/>
      <c r="C246" s="412" t="s">
        <v>821</v>
      </c>
      <c r="D246" s="409"/>
      <c r="E246" s="401"/>
      <c r="F246" s="411"/>
      <c r="G246" s="402">
        <f t="shared" si="17"/>
        <v>0</v>
      </c>
    </row>
    <row r="247" spans="1:7" s="160" customFormat="1" x14ac:dyDescent="0.35">
      <c r="A247" s="398"/>
      <c r="B247" s="399"/>
      <c r="C247" s="400"/>
      <c r="D247" s="409"/>
      <c r="E247" s="401"/>
      <c r="F247" s="411"/>
      <c r="G247" s="402">
        <f t="shared" si="17"/>
        <v>0</v>
      </c>
    </row>
    <row r="248" spans="1:7" s="160" customFormat="1" ht="46.5" x14ac:dyDescent="0.35">
      <c r="A248" s="398"/>
      <c r="B248" s="399"/>
      <c r="C248" s="400" t="s">
        <v>848</v>
      </c>
      <c r="D248" s="409">
        <v>30</v>
      </c>
      <c r="E248" s="401" t="s">
        <v>777</v>
      </c>
      <c r="F248" s="411"/>
      <c r="G248" s="402">
        <f>D248*F248</f>
        <v>0</v>
      </c>
    </row>
    <row r="249" spans="1:7" s="160" customFormat="1" x14ac:dyDescent="0.35">
      <c r="A249" s="398"/>
      <c r="B249" s="399"/>
      <c r="C249" s="400"/>
      <c r="D249" s="409"/>
      <c r="E249" s="401"/>
      <c r="F249" s="411"/>
      <c r="G249" s="402">
        <f t="shared" ref="G249" si="18">ROUND(D249*F249,2)</f>
        <v>0</v>
      </c>
    </row>
    <row r="250" spans="1:7" s="160" customFormat="1" ht="69.75" x14ac:dyDescent="0.35">
      <c r="A250" s="398"/>
      <c r="B250" s="399"/>
      <c r="C250" s="400" t="s">
        <v>823</v>
      </c>
      <c r="D250" s="409">
        <v>6</v>
      </c>
      <c r="E250" s="401" t="s">
        <v>824</v>
      </c>
      <c r="F250" s="411"/>
      <c r="G250" s="402">
        <f>D250*F250</f>
        <v>0</v>
      </c>
    </row>
    <row r="251" spans="1:7" s="160" customFormat="1" x14ac:dyDescent="0.35">
      <c r="A251" s="398"/>
      <c r="B251" s="399"/>
      <c r="C251" s="400"/>
      <c r="D251" s="409"/>
      <c r="E251" s="401"/>
      <c r="F251" s="411"/>
      <c r="G251" s="402">
        <f t="shared" ref="G251:G258" si="19">ROUND(D251*F251,2)</f>
        <v>0</v>
      </c>
    </row>
    <row r="252" spans="1:7" s="160" customFormat="1" x14ac:dyDescent="0.35">
      <c r="A252" s="398"/>
      <c r="B252" s="399"/>
      <c r="C252" s="400"/>
      <c r="D252" s="409"/>
      <c r="E252" s="401"/>
      <c r="F252" s="411"/>
      <c r="G252" s="402">
        <f t="shared" si="19"/>
        <v>0</v>
      </c>
    </row>
    <row r="253" spans="1:7" s="160" customFormat="1" ht="162.75" x14ac:dyDescent="0.35">
      <c r="A253" s="398"/>
      <c r="B253" s="399"/>
      <c r="C253" s="400" t="s">
        <v>841</v>
      </c>
      <c r="D253" s="409">
        <v>24</v>
      </c>
      <c r="E253" s="401" t="s">
        <v>761</v>
      </c>
      <c r="F253" s="411"/>
      <c r="G253" s="402">
        <f>D253*F253</f>
        <v>0</v>
      </c>
    </row>
    <row r="254" spans="1:7" s="160" customFormat="1" ht="24" thickBot="1" x14ac:dyDescent="0.4">
      <c r="A254" s="398"/>
      <c r="B254" s="399"/>
      <c r="C254" s="400"/>
      <c r="D254" s="409"/>
      <c r="E254" s="401"/>
      <c r="F254" s="411"/>
      <c r="G254" s="402">
        <f t="shared" si="19"/>
        <v>0</v>
      </c>
    </row>
    <row r="255" spans="1:7" s="160" customFormat="1" ht="93.75" thickBot="1" x14ac:dyDescent="0.4">
      <c r="A255" s="398"/>
      <c r="B255" s="399"/>
      <c r="C255" s="400" t="s">
        <v>950</v>
      </c>
      <c r="D255" s="409">
        <v>1</v>
      </c>
      <c r="E255" s="401" t="s">
        <v>819</v>
      </c>
      <c r="F255" s="411"/>
      <c r="G255" s="433">
        <f>D255*F255</f>
        <v>0</v>
      </c>
    </row>
    <row r="256" spans="1:7" s="160" customFormat="1" ht="24" thickBot="1" x14ac:dyDescent="0.4">
      <c r="A256" s="398"/>
      <c r="B256" s="399"/>
      <c r="C256" s="400"/>
      <c r="D256" s="409"/>
      <c r="E256" s="401"/>
      <c r="F256" s="411"/>
      <c r="G256" s="402">
        <f t="shared" si="19"/>
        <v>0</v>
      </c>
    </row>
    <row r="257" spans="1:7" s="160" customFormat="1" ht="47.25" thickBot="1" x14ac:dyDescent="0.4">
      <c r="A257" s="398"/>
      <c r="B257" s="399"/>
      <c r="C257" s="400" t="s">
        <v>954</v>
      </c>
      <c r="D257" s="409">
        <v>1</v>
      </c>
      <c r="E257" s="401" t="s">
        <v>819</v>
      </c>
      <c r="F257" s="411"/>
      <c r="G257" s="433">
        <f>D257*F257</f>
        <v>0</v>
      </c>
    </row>
    <row r="258" spans="1:7" s="160" customFormat="1" x14ac:dyDescent="0.35">
      <c r="A258" s="398"/>
      <c r="B258" s="399"/>
      <c r="C258" s="400"/>
      <c r="D258" s="409"/>
      <c r="E258" s="401"/>
      <c r="F258" s="411"/>
      <c r="G258" s="402">
        <f t="shared" si="19"/>
        <v>0</v>
      </c>
    </row>
    <row r="259" spans="1:7" s="160" customFormat="1" ht="69.75" x14ac:dyDescent="0.35">
      <c r="A259" s="398"/>
      <c r="B259" s="399"/>
      <c r="C259" s="400" t="s">
        <v>818</v>
      </c>
      <c r="D259" s="409">
        <v>1</v>
      </c>
      <c r="E259" s="401" t="s">
        <v>756</v>
      </c>
      <c r="F259" s="411"/>
      <c r="G259" s="402">
        <f>D259*F259</f>
        <v>0</v>
      </c>
    </row>
    <row r="260" spans="1:7" s="160" customFormat="1" x14ac:dyDescent="0.35">
      <c r="A260" s="398"/>
      <c r="B260" s="399"/>
      <c r="C260" s="400"/>
      <c r="D260" s="409"/>
      <c r="E260" s="401"/>
      <c r="F260" s="411"/>
      <c r="G260" s="402">
        <f t="shared" ref="G260:G322" si="20">ROUND(D260*F260,2)</f>
        <v>0</v>
      </c>
    </row>
    <row r="261" spans="1:7" s="160" customFormat="1" x14ac:dyDescent="0.35">
      <c r="A261" s="398"/>
      <c r="B261" s="399"/>
      <c r="C261" s="400"/>
      <c r="D261" s="409"/>
      <c r="E261" s="401"/>
      <c r="F261" s="411"/>
      <c r="G261" s="402">
        <f t="shared" si="20"/>
        <v>0</v>
      </c>
    </row>
    <row r="262" spans="1:7" s="160" customFormat="1" x14ac:dyDescent="0.35">
      <c r="A262" s="398"/>
      <c r="B262" s="399"/>
      <c r="C262" s="400"/>
      <c r="D262" s="409"/>
      <c r="E262" s="401"/>
      <c r="F262" s="411"/>
      <c r="G262" s="402">
        <f t="shared" si="20"/>
        <v>0</v>
      </c>
    </row>
    <row r="263" spans="1:7" s="160" customFormat="1" x14ac:dyDescent="0.35">
      <c r="A263" s="398"/>
      <c r="B263" s="399"/>
      <c r="C263" s="400"/>
      <c r="D263" s="409"/>
      <c r="E263" s="401"/>
      <c r="F263" s="411"/>
      <c r="G263" s="402">
        <f t="shared" si="20"/>
        <v>0</v>
      </c>
    </row>
    <row r="264" spans="1:7" s="160" customFormat="1" x14ac:dyDescent="0.35">
      <c r="A264" s="398"/>
      <c r="B264" s="399"/>
      <c r="C264" s="400"/>
      <c r="D264" s="409"/>
      <c r="E264" s="401"/>
      <c r="F264" s="411"/>
      <c r="G264" s="402">
        <f t="shared" si="20"/>
        <v>0</v>
      </c>
    </row>
    <row r="265" spans="1:7" s="160" customFormat="1" x14ac:dyDescent="0.35">
      <c r="A265" s="398"/>
      <c r="B265" s="399"/>
      <c r="C265" s="400"/>
      <c r="D265" s="409"/>
      <c r="E265" s="401"/>
      <c r="F265" s="411"/>
      <c r="G265" s="402">
        <f t="shared" si="20"/>
        <v>0</v>
      </c>
    </row>
    <row r="266" spans="1:7" s="160" customFormat="1" x14ac:dyDescent="0.35">
      <c r="A266" s="398"/>
      <c r="B266" s="399"/>
      <c r="C266" s="400"/>
      <c r="D266" s="409"/>
      <c r="E266" s="401"/>
      <c r="F266" s="411"/>
      <c r="G266" s="402">
        <f t="shared" si="20"/>
        <v>0</v>
      </c>
    </row>
    <row r="267" spans="1:7" s="160" customFormat="1" x14ac:dyDescent="0.35">
      <c r="A267" s="398"/>
      <c r="B267" s="399"/>
      <c r="C267" s="400"/>
      <c r="D267" s="409"/>
      <c r="E267" s="401"/>
      <c r="F267" s="411"/>
      <c r="G267" s="402">
        <f t="shared" si="20"/>
        <v>0</v>
      </c>
    </row>
    <row r="268" spans="1:7" s="160" customFormat="1" x14ac:dyDescent="0.35">
      <c r="A268" s="398"/>
      <c r="B268" s="399"/>
      <c r="C268" s="400"/>
      <c r="D268" s="409"/>
      <c r="E268" s="401"/>
      <c r="F268" s="411"/>
      <c r="G268" s="402">
        <f t="shared" si="20"/>
        <v>0</v>
      </c>
    </row>
    <row r="269" spans="1:7" s="160" customFormat="1" x14ac:dyDescent="0.35">
      <c r="A269" s="398"/>
      <c r="B269" s="399"/>
      <c r="C269" s="400"/>
      <c r="D269" s="409"/>
      <c r="E269" s="401"/>
      <c r="F269" s="411"/>
      <c r="G269" s="402">
        <f t="shared" si="20"/>
        <v>0</v>
      </c>
    </row>
    <row r="270" spans="1:7" s="160" customFormat="1" x14ac:dyDescent="0.35">
      <c r="A270" s="398"/>
      <c r="B270" s="399"/>
      <c r="C270" s="400"/>
      <c r="D270" s="409"/>
      <c r="E270" s="401"/>
      <c r="F270" s="411"/>
      <c r="G270" s="402">
        <f t="shared" si="20"/>
        <v>0</v>
      </c>
    </row>
    <row r="271" spans="1:7" s="160" customFormat="1" x14ac:dyDescent="0.35">
      <c r="A271" s="398"/>
      <c r="B271" s="399"/>
      <c r="C271" s="400"/>
      <c r="D271" s="409"/>
      <c r="E271" s="401"/>
      <c r="F271" s="411"/>
      <c r="G271" s="402">
        <f t="shared" si="20"/>
        <v>0</v>
      </c>
    </row>
    <row r="272" spans="1:7" s="160" customFormat="1" x14ac:dyDescent="0.35">
      <c r="A272" s="398"/>
      <c r="B272" s="399"/>
      <c r="C272" s="400"/>
      <c r="D272" s="409"/>
      <c r="E272" s="401"/>
      <c r="F272" s="411"/>
      <c r="G272" s="402">
        <f t="shared" si="20"/>
        <v>0</v>
      </c>
    </row>
    <row r="273" spans="1:7" s="160" customFormat="1" ht="24" thickBot="1" x14ac:dyDescent="0.4">
      <c r="A273" s="398"/>
      <c r="B273" s="399"/>
      <c r="C273" s="400"/>
      <c r="D273" s="409"/>
      <c r="E273" s="401"/>
      <c r="F273" s="411"/>
      <c r="G273" s="402">
        <f t="shared" si="20"/>
        <v>0</v>
      </c>
    </row>
    <row r="274" spans="1:7" s="160" customFormat="1" ht="24" thickBot="1" x14ac:dyDescent="0.4">
      <c r="A274" s="398"/>
      <c r="B274" s="399"/>
      <c r="C274" s="404" t="s">
        <v>760</v>
      </c>
      <c r="D274" s="409"/>
      <c r="E274" s="401"/>
      <c r="F274" s="411"/>
      <c r="G274" s="405">
        <f>SUM(G246:G273)</f>
        <v>0</v>
      </c>
    </row>
    <row r="275" spans="1:7" s="160" customFormat="1" x14ac:dyDescent="0.35">
      <c r="A275" s="398"/>
      <c r="B275" s="399"/>
      <c r="C275" s="400"/>
      <c r="D275" s="409"/>
      <c r="E275" s="401"/>
      <c r="F275" s="411"/>
      <c r="G275" s="402">
        <f t="shared" si="20"/>
        <v>0</v>
      </c>
    </row>
    <row r="276" spans="1:7" s="160" customFormat="1" x14ac:dyDescent="0.35">
      <c r="A276" s="398"/>
      <c r="B276" s="399"/>
      <c r="C276" s="400"/>
      <c r="D276" s="409"/>
      <c r="E276" s="401"/>
      <c r="F276" s="411"/>
      <c r="G276" s="402">
        <f t="shared" si="20"/>
        <v>0</v>
      </c>
    </row>
    <row r="277" spans="1:7" s="160" customFormat="1" x14ac:dyDescent="0.35">
      <c r="A277" s="398"/>
      <c r="B277" s="399"/>
      <c r="C277" s="400"/>
      <c r="D277" s="409"/>
      <c r="E277" s="401"/>
      <c r="F277" s="411"/>
      <c r="G277" s="402">
        <f t="shared" si="20"/>
        <v>0</v>
      </c>
    </row>
    <row r="278" spans="1:7" s="160" customFormat="1" ht="24" thickBot="1" x14ac:dyDescent="0.4">
      <c r="A278" s="398"/>
      <c r="B278" s="399"/>
      <c r="C278" s="400"/>
      <c r="D278" s="409"/>
      <c r="E278" s="401"/>
      <c r="F278" s="411"/>
      <c r="G278" s="402">
        <f t="shared" si="20"/>
        <v>0</v>
      </c>
    </row>
    <row r="279" spans="1:7" ht="18.75" customHeight="1" x14ac:dyDescent="0.35">
      <c r="A279" s="383"/>
      <c r="B279" s="384"/>
      <c r="C279" s="385"/>
      <c r="D279" s="386"/>
      <c r="E279" s="387"/>
      <c r="F279" s="410"/>
      <c r="G279" s="387"/>
    </row>
    <row r="280" spans="1:7" s="160" customFormat="1" x14ac:dyDescent="0.35">
      <c r="A280" s="388"/>
      <c r="B280" s="389"/>
      <c r="C280" s="390"/>
      <c r="D280" s="391"/>
      <c r="E280" s="391"/>
      <c r="F280" s="393" t="s">
        <v>2</v>
      </c>
      <c r="G280" s="393"/>
    </row>
    <row r="281" spans="1:7" s="160" customFormat="1" ht="24" thickBot="1" x14ac:dyDescent="0.4">
      <c r="A281" s="394"/>
      <c r="B281" s="395"/>
      <c r="C281" s="396" t="s">
        <v>753</v>
      </c>
      <c r="D281" s="397" t="s">
        <v>3</v>
      </c>
      <c r="E281" s="397" t="s">
        <v>1</v>
      </c>
      <c r="F281" s="397" t="s">
        <v>4</v>
      </c>
      <c r="G281" s="397" t="s">
        <v>5</v>
      </c>
    </row>
    <row r="282" spans="1:7" s="160" customFormat="1" ht="18" customHeight="1" x14ac:dyDescent="0.35">
      <c r="A282" s="398"/>
      <c r="B282" s="399"/>
      <c r="C282" s="400"/>
      <c r="D282" s="409"/>
      <c r="E282" s="401"/>
      <c r="F282" s="411"/>
      <c r="G282" s="402">
        <f t="shared" ref="G282:G283" si="21">ROUND(D282*F282,2)</f>
        <v>0</v>
      </c>
    </row>
    <row r="283" spans="1:7" s="160" customFormat="1" x14ac:dyDescent="0.35">
      <c r="A283" s="398"/>
      <c r="B283" s="399"/>
      <c r="C283" s="412" t="s">
        <v>820</v>
      </c>
      <c r="D283" s="409"/>
      <c r="E283" s="401"/>
      <c r="F283" s="411"/>
      <c r="G283" s="402">
        <f t="shared" si="21"/>
        <v>0</v>
      </c>
    </row>
    <row r="284" spans="1:7" s="160" customFormat="1" ht="24" thickBot="1" x14ac:dyDescent="0.4">
      <c r="A284" s="398"/>
      <c r="B284" s="399"/>
      <c r="C284" s="400"/>
      <c r="D284" s="409"/>
      <c r="E284" s="401"/>
      <c r="F284" s="411"/>
      <c r="G284" s="402">
        <f t="shared" si="20"/>
        <v>0</v>
      </c>
    </row>
    <row r="285" spans="1:7" s="160" customFormat="1" ht="47.25" thickBot="1" x14ac:dyDescent="0.4">
      <c r="A285" s="398"/>
      <c r="B285" s="399"/>
      <c r="C285" s="400" t="s">
        <v>952</v>
      </c>
      <c r="D285" s="409">
        <v>1</v>
      </c>
      <c r="E285" s="401" t="s">
        <v>756</v>
      </c>
      <c r="F285" s="411"/>
      <c r="G285" s="433">
        <f t="shared" ref="G285:G289" si="22">D285*F285</f>
        <v>0</v>
      </c>
    </row>
    <row r="286" spans="1:7" s="160" customFormat="1" x14ac:dyDescent="0.35">
      <c r="A286" s="398"/>
      <c r="B286" s="399"/>
      <c r="C286" s="400"/>
      <c r="D286" s="409"/>
      <c r="E286" s="401"/>
      <c r="F286" s="411"/>
      <c r="G286" s="402">
        <f t="shared" si="22"/>
        <v>0</v>
      </c>
    </row>
    <row r="287" spans="1:7" s="160" customFormat="1" x14ac:dyDescent="0.35">
      <c r="A287" s="398"/>
      <c r="B287" s="399"/>
      <c r="C287" s="400"/>
      <c r="D287" s="409"/>
      <c r="E287" s="401"/>
      <c r="F287" s="411"/>
      <c r="G287" s="402">
        <f t="shared" si="22"/>
        <v>0</v>
      </c>
    </row>
    <row r="288" spans="1:7" s="160" customFormat="1" x14ac:dyDescent="0.35">
      <c r="A288" s="398"/>
      <c r="B288" s="399"/>
      <c r="C288" s="400"/>
      <c r="D288" s="409"/>
      <c r="E288" s="401"/>
      <c r="F288" s="411"/>
      <c r="G288" s="402">
        <f t="shared" si="22"/>
        <v>0</v>
      </c>
    </row>
    <row r="289" spans="1:7" s="160" customFormat="1" x14ac:dyDescent="0.35">
      <c r="A289" s="398"/>
      <c r="B289" s="399"/>
      <c r="C289" s="400" t="s">
        <v>949</v>
      </c>
      <c r="D289" s="409">
        <v>1</v>
      </c>
      <c r="E289" s="401" t="s">
        <v>756</v>
      </c>
      <c r="F289" s="411"/>
      <c r="G289" s="402">
        <f t="shared" si="22"/>
        <v>0</v>
      </c>
    </row>
    <row r="290" spans="1:7" s="160" customFormat="1" x14ac:dyDescent="0.35">
      <c r="A290" s="398"/>
      <c r="B290" s="399"/>
      <c r="C290" s="400"/>
      <c r="D290" s="409"/>
      <c r="E290" s="401"/>
      <c r="F290" s="411"/>
      <c r="G290" s="402">
        <f t="shared" ref="G290:G295" si="23">D290*F290</f>
        <v>0</v>
      </c>
    </row>
    <row r="291" spans="1:7" s="160" customFormat="1" x14ac:dyDescent="0.35">
      <c r="A291" s="398"/>
      <c r="B291" s="399"/>
      <c r="C291" s="400"/>
      <c r="D291" s="409"/>
      <c r="E291" s="401"/>
      <c r="F291" s="411"/>
      <c r="G291" s="402">
        <f t="shared" si="23"/>
        <v>0</v>
      </c>
    </row>
    <row r="292" spans="1:7" s="160" customFormat="1" x14ac:dyDescent="0.35">
      <c r="A292" s="398"/>
      <c r="B292" s="399"/>
      <c r="C292" s="400"/>
      <c r="D292" s="409"/>
      <c r="E292" s="401"/>
      <c r="F292" s="411"/>
      <c r="G292" s="402">
        <f t="shared" si="23"/>
        <v>0</v>
      </c>
    </row>
    <row r="293" spans="1:7" s="160" customFormat="1" x14ac:dyDescent="0.35">
      <c r="A293" s="398"/>
      <c r="B293" s="399"/>
      <c r="C293" s="400"/>
      <c r="D293" s="409"/>
      <c r="E293" s="401"/>
      <c r="F293" s="411"/>
      <c r="G293" s="402">
        <f t="shared" si="23"/>
        <v>0</v>
      </c>
    </row>
    <row r="294" spans="1:7" s="160" customFormat="1" x14ac:dyDescent="0.35">
      <c r="A294" s="398"/>
      <c r="B294" s="399"/>
      <c r="C294" s="400"/>
      <c r="D294" s="409"/>
      <c r="E294" s="401"/>
      <c r="F294" s="411"/>
      <c r="G294" s="402">
        <f t="shared" si="23"/>
        <v>0</v>
      </c>
    </row>
    <row r="295" spans="1:7" s="160" customFormat="1" x14ac:dyDescent="0.35">
      <c r="A295" s="398"/>
      <c r="B295" s="399"/>
      <c r="C295" s="400"/>
      <c r="D295" s="409"/>
      <c r="E295" s="401"/>
      <c r="F295" s="411"/>
      <c r="G295" s="402">
        <f t="shared" si="23"/>
        <v>0</v>
      </c>
    </row>
    <row r="296" spans="1:7" s="160" customFormat="1" x14ac:dyDescent="0.35">
      <c r="A296" s="398"/>
      <c r="B296" s="399"/>
      <c r="C296" s="400"/>
      <c r="D296" s="409"/>
      <c r="E296" s="401"/>
      <c r="F296" s="411"/>
      <c r="G296" s="402">
        <f t="shared" si="20"/>
        <v>0</v>
      </c>
    </row>
    <row r="297" spans="1:7" s="160" customFormat="1" x14ac:dyDescent="0.35">
      <c r="A297" s="398"/>
      <c r="B297" s="399"/>
      <c r="C297" s="400"/>
      <c r="D297" s="409"/>
      <c r="E297" s="401"/>
      <c r="F297" s="411"/>
      <c r="G297" s="402">
        <f t="shared" si="20"/>
        <v>0</v>
      </c>
    </row>
    <row r="298" spans="1:7" s="160" customFormat="1" x14ac:dyDescent="0.35">
      <c r="A298" s="398"/>
      <c r="B298" s="399"/>
      <c r="C298" s="400"/>
      <c r="D298" s="409"/>
      <c r="E298" s="401"/>
      <c r="F298" s="411"/>
      <c r="G298" s="402">
        <f t="shared" si="20"/>
        <v>0</v>
      </c>
    </row>
    <row r="299" spans="1:7" s="160" customFormat="1" x14ac:dyDescent="0.35">
      <c r="A299" s="398"/>
      <c r="B299" s="399"/>
      <c r="C299" s="400"/>
      <c r="D299" s="409"/>
      <c r="E299" s="401"/>
      <c r="F299" s="411"/>
      <c r="G299" s="402">
        <f>D299*F299</f>
        <v>0</v>
      </c>
    </row>
    <row r="300" spans="1:7" s="160" customFormat="1" x14ac:dyDescent="0.35">
      <c r="A300" s="398"/>
      <c r="B300" s="399"/>
      <c r="C300" s="400"/>
      <c r="D300" s="409"/>
      <c r="E300" s="401"/>
      <c r="F300" s="411"/>
      <c r="G300" s="402">
        <f t="shared" ref="G300:G305" si="24">D300*F300</f>
        <v>0</v>
      </c>
    </row>
    <row r="301" spans="1:7" s="160" customFormat="1" x14ac:dyDescent="0.35">
      <c r="A301" s="398"/>
      <c r="B301" s="399"/>
      <c r="C301" s="400"/>
      <c r="D301" s="409"/>
      <c r="E301" s="401"/>
      <c r="F301" s="411"/>
      <c r="G301" s="402">
        <f t="shared" si="24"/>
        <v>0</v>
      </c>
    </row>
    <row r="302" spans="1:7" s="160" customFormat="1" x14ac:dyDescent="0.35">
      <c r="A302" s="398"/>
      <c r="B302" s="399"/>
      <c r="C302" s="400"/>
      <c r="D302" s="409"/>
      <c r="E302" s="401"/>
      <c r="F302" s="411"/>
      <c r="G302" s="402">
        <f t="shared" si="24"/>
        <v>0</v>
      </c>
    </row>
    <row r="303" spans="1:7" s="160" customFormat="1" x14ac:dyDescent="0.35">
      <c r="A303" s="398"/>
      <c r="B303" s="399"/>
      <c r="C303" s="400"/>
      <c r="D303" s="409"/>
      <c r="E303" s="401"/>
      <c r="F303" s="411"/>
      <c r="G303" s="402">
        <f t="shared" si="24"/>
        <v>0</v>
      </c>
    </row>
    <row r="304" spans="1:7" s="160" customFormat="1" x14ac:dyDescent="0.35">
      <c r="A304" s="398"/>
      <c r="B304" s="399"/>
      <c r="C304" s="400"/>
      <c r="D304" s="409"/>
      <c r="E304" s="401"/>
      <c r="F304" s="411"/>
      <c r="G304" s="402">
        <f t="shared" si="24"/>
        <v>0</v>
      </c>
    </row>
    <row r="305" spans="1:7" s="160" customFormat="1" x14ac:dyDescent="0.35">
      <c r="A305" s="398"/>
      <c r="B305" s="399"/>
      <c r="C305" s="400"/>
      <c r="D305" s="409"/>
      <c r="E305" s="401"/>
      <c r="F305" s="411"/>
      <c r="G305" s="402">
        <f t="shared" si="24"/>
        <v>0</v>
      </c>
    </row>
    <row r="306" spans="1:7" s="160" customFormat="1" x14ac:dyDescent="0.35">
      <c r="A306" s="398"/>
      <c r="B306" s="399"/>
      <c r="C306" s="400"/>
      <c r="D306" s="409"/>
      <c r="E306" s="401"/>
      <c r="F306" s="411"/>
      <c r="G306" s="402">
        <f t="shared" si="20"/>
        <v>0</v>
      </c>
    </row>
    <row r="307" spans="1:7" s="160" customFormat="1" x14ac:dyDescent="0.35">
      <c r="A307" s="398"/>
      <c r="B307" s="399"/>
      <c r="C307" s="400"/>
      <c r="D307" s="409"/>
      <c r="E307" s="401"/>
      <c r="F307" s="411"/>
      <c r="G307" s="402">
        <f t="shared" si="20"/>
        <v>0</v>
      </c>
    </row>
    <row r="308" spans="1:7" s="160" customFormat="1" x14ac:dyDescent="0.35">
      <c r="A308" s="398"/>
      <c r="B308" s="399"/>
      <c r="C308" s="400"/>
      <c r="D308" s="409"/>
      <c r="E308" s="401"/>
      <c r="F308" s="411"/>
      <c r="G308" s="402">
        <f t="shared" si="20"/>
        <v>0</v>
      </c>
    </row>
    <row r="309" spans="1:7" s="160" customFormat="1" x14ac:dyDescent="0.35">
      <c r="A309" s="398"/>
      <c r="B309" s="399"/>
      <c r="C309" s="400"/>
      <c r="D309" s="409"/>
      <c r="E309" s="401"/>
      <c r="F309" s="411"/>
      <c r="G309" s="402">
        <f t="shared" si="20"/>
        <v>0</v>
      </c>
    </row>
    <row r="310" spans="1:7" s="160" customFormat="1" x14ac:dyDescent="0.35">
      <c r="A310" s="398"/>
      <c r="B310" s="399"/>
      <c r="C310" s="400"/>
      <c r="D310" s="409"/>
      <c r="E310" s="401"/>
      <c r="F310" s="411"/>
      <c r="G310" s="402">
        <f t="shared" si="20"/>
        <v>0</v>
      </c>
    </row>
    <row r="311" spans="1:7" s="160" customFormat="1" x14ac:dyDescent="0.35">
      <c r="A311" s="398"/>
      <c r="B311" s="399"/>
      <c r="C311" s="400"/>
      <c r="D311" s="409"/>
      <c r="E311" s="401"/>
      <c r="F311" s="411"/>
      <c r="G311" s="402">
        <f t="shared" si="20"/>
        <v>0</v>
      </c>
    </row>
    <row r="312" spans="1:7" s="160" customFormat="1" x14ac:dyDescent="0.35">
      <c r="A312" s="398"/>
      <c r="B312" s="399"/>
      <c r="C312" s="400"/>
      <c r="D312" s="409"/>
      <c r="E312" s="401"/>
      <c r="F312" s="411"/>
      <c r="G312" s="402">
        <f t="shared" si="20"/>
        <v>0</v>
      </c>
    </row>
    <row r="313" spans="1:7" s="160" customFormat="1" x14ac:dyDescent="0.35">
      <c r="A313" s="398"/>
      <c r="B313" s="399"/>
      <c r="C313" s="400"/>
      <c r="D313" s="409"/>
      <c r="E313" s="401"/>
      <c r="F313" s="411"/>
      <c r="G313" s="402">
        <f t="shared" si="20"/>
        <v>0</v>
      </c>
    </row>
    <row r="314" spans="1:7" s="160" customFormat="1" x14ac:dyDescent="0.35">
      <c r="A314" s="398"/>
      <c r="B314" s="399"/>
      <c r="C314" s="400"/>
      <c r="D314" s="409"/>
      <c r="E314" s="401"/>
      <c r="F314" s="411"/>
      <c r="G314" s="402">
        <f t="shared" si="20"/>
        <v>0</v>
      </c>
    </row>
    <row r="315" spans="1:7" s="160" customFormat="1" x14ac:dyDescent="0.35">
      <c r="A315" s="398"/>
      <c r="B315" s="399"/>
      <c r="C315" s="400"/>
      <c r="D315" s="409"/>
      <c r="E315" s="401"/>
      <c r="F315" s="411"/>
      <c r="G315" s="402">
        <f t="shared" si="20"/>
        <v>0</v>
      </c>
    </row>
    <row r="316" spans="1:7" s="160" customFormat="1" x14ac:dyDescent="0.35">
      <c r="A316" s="398"/>
      <c r="B316" s="399"/>
      <c r="C316" s="400"/>
      <c r="D316" s="409"/>
      <c r="E316" s="401"/>
      <c r="F316" s="411"/>
      <c r="G316" s="402">
        <f t="shared" si="20"/>
        <v>0</v>
      </c>
    </row>
    <row r="317" spans="1:7" s="160" customFormat="1" x14ac:dyDescent="0.35">
      <c r="A317" s="398"/>
      <c r="B317" s="399"/>
      <c r="C317" s="400"/>
      <c r="D317" s="409"/>
      <c r="E317" s="401"/>
      <c r="F317" s="411"/>
      <c r="G317" s="402">
        <f t="shared" si="20"/>
        <v>0</v>
      </c>
    </row>
    <row r="318" spans="1:7" s="160" customFormat="1" x14ac:dyDescent="0.35">
      <c r="A318" s="398"/>
      <c r="B318" s="399"/>
      <c r="C318" s="400"/>
      <c r="D318" s="409"/>
      <c r="E318" s="401"/>
      <c r="F318" s="411"/>
      <c r="G318" s="402">
        <f t="shared" si="20"/>
        <v>0</v>
      </c>
    </row>
    <row r="319" spans="1:7" s="160" customFormat="1" x14ac:dyDescent="0.35">
      <c r="A319" s="398"/>
      <c r="B319" s="399"/>
      <c r="C319" s="400"/>
      <c r="D319" s="409"/>
      <c r="E319" s="401"/>
      <c r="F319" s="411"/>
      <c r="G319" s="402">
        <f t="shared" si="20"/>
        <v>0</v>
      </c>
    </row>
    <row r="320" spans="1:7" s="160" customFormat="1" x14ac:dyDescent="0.35">
      <c r="A320" s="398"/>
      <c r="B320" s="399"/>
      <c r="C320" s="400"/>
      <c r="D320" s="409"/>
      <c r="E320" s="401"/>
      <c r="F320" s="411"/>
      <c r="G320" s="402">
        <f t="shared" si="20"/>
        <v>0</v>
      </c>
    </row>
    <row r="321" spans="1:7" s="160" customFormat="1" x14ac:dyDescent="0.35">
      <c r="A321" s="398"/>
      <c r="B321" s="399"/>
      <c r="C321" s="400"/>
      <c r="D321" s="409"/>
      <c r="E321" s="401"/>
      <c r="F321" s="411"/>
      <c r="G321" s="402">
        <f t="shared" si="20"/>
        <v>0</v>
      </c>
    </row>
    <row r="322" spans="1:7" s="160" customFormat="1" x14ac:dyDescent="0.35">
      <c r="A322" s="398"/>
      <c r="B322" s="399"/>
      <c r="C322" s="400"/>
      <c r="D322" s="409"/>
      <c r="E322" s="401"/>
      <c r="F322" s="411"/>
      <c r="G322" s="402">
        <f t="shared" si="20"/>
        <v>0</v>
      </c>
    </row>
    <row r="323" spans="1:7" s="160" customFormat="1" x14ac:dyDescent="0.35">
      <c r="A323" s="398"/>
      <c r="B323" s="399"/>
      <c r="C323" s="400"/>
      <c r="D323" s="409"/>
      <c r="E323" s="401"/>
      <c r="F323" s="411"/>
      <c r="G323" s="402"/>
    </row>
    <row r="324" spans="1:7" s="160" customFormat="1" ht="24" thickBot="1" x14ac:dyDescent="0.4">
      <c r="A324" s="398"/>
      <c r="B324" s="399"/>
      <c r="C324" s="400"/>
      <c r="D324" s="409"/>
      <c r="E324" s="401"/>
      <c r="F324" s="411"/>
      <c r="G324" s="402">
        <f t="shared" ref="G324:G383" si="25">ROUND(D324*F324,2)</f>
        <v>0</v>
      </c>
    </row>
    <row r="325" spans="1:7" s="160" customFormat="1" ht="24" thickBot="1" x14ac:dyDescent="0.4">
      <c r="A325" s="398"/>
      <c r="B325" s="399"/>
      <c r="C325" s="404" t="s">
        <v>760</v>
      </c>
      <c r="D325" s="409"/>
      <c r="E325" s="401"/>
      <c r="F325" s="411"/>
      <c r="G325" s="405">
        <f>SUM(G283:G324)</f>
        <v>0</v>
      </c>
    </row>
    <row r="326" spans="1:7" s="160" customFormat="1" x14ac:dyDescent="0.35">
      <c r="A326" s="398"/>
      <c r="B326" s="399"/>
      <c r="C326" s="400"/>
      <c r="D326" s="409"/>
      <c r="E326" s="401"/>
      <c r="F326" s="411"/>
      <c r="G326" s="402">
        <f t="shared" si="25"/>
        <v>0</v>
      </c>
    </row>
    <row r="327" spans="1:7" s="160" customFormat="1" x14ac:dyDescent="0.35">
      <c r="A327" s="398"/>
      <c r="B327" s="399"/>
      <c r="C327" s="400"/>
      <c r="D327" s="409"/>
      <c r="E327" s="401"/>
      <c r="F327" s="411"/>
      <c r="G327" s="402">
        <f t="shared" si="25"/>
        <v>0</v>
      </c>
    </row>
    <row r="328" spans="1:7" s="160" customFormat="1" x14ac:dyDescent="0.35">
      <c r="A328" s="398"/>
      <c r="B328" s="399"/>
      <c r="C328" s="400"/>
      <c r="D328" s="409"/>
      <c r="E328" s="401"/>
      <c r="F328" s="411"/>
      <c r="G328" s="402">
        <f t="shared" si="25"/>
        <v>0</v>
      </c>
    </row>
    <row r="329" spans="1:7" s="160" customFormat="1" ht="24" thickBot="1" x14ac:dyDescent="0.4">
      <c r="A329" s="398"/>
      <c r="B329" s="399"/>
      <c r="C329" s="400"/>
      <c r="D329" s="409"/>
      <c r="E329" s="401"/>
      <c r="F329" s="411"/>
      <c r="G329" s="402">
        <f t="shared" si="25"/>
        <v>0</v>
      </c>
    </row>
    <row r="330" spans="1:7" ht="18.75" customHeight="1" x14ac:dyDescent="0.35">
      <c r="A330" s="383"/>
      <c r="B330" s="384"/>
      <c r="C330" s="385"/>
      <c r="D330" s="386"/>
      <c r="E330" s="387"/>
      <c r="F330" s="410"/>
      <c r="G330" s="387"/>
    </row>
    <row r="331" spans="1:7" s="160" customFormat="1" x14ac:dyDescent="0.35">
      <c r="A331" s="388"/>
      <c r="B331" s="389"/>
      <c r="C331" s="390"/>
      <c r="D331" s="391"/>
      <c r="E331" s="391"/>
      <c r="F331" s="393" t="s">
        <v>2</v>
      </c>
      <c r="G331" s="393"/>
    </row>
    <row r="332" spans="1:7" s="160" customFormat="1" ht="24" thickBot="1" x14ac:dyDescent="0.4">
      <c r="A332" s="394"/>
      <c r="B332" s="395"/>
      <c r="C332" s="396" t="s">
        <v>753</v>
      </c>
      <c r="D332" s="397" t="s">
        <v>3</v>
      </c>
      <c r="E332" s="397" t="s">
        <v>1</v>
      </c>
      <c r="F332" s="397" t="s">
        <v>4</v>
      </c>
      <c r="G332" s="397" t="s">
        <v>5</v>
      </c>
    </row>
    <row r="333" spans="1:7" s="160" customFormat="1" ht="18" customHeight="1" x14ac:dyDescent="0.35">
      <c r="A333" s="398"/>
      <c r="B333" s="399"/>
      <c r="C333" s="400"/>
      <c r="D333" s="409"/>
      <c r="E333" s="401"/>
      <c r="F333" s="411"/>
      <c r="G333" s="402">
        <f t="shared" ref="G333:G334" si="26">ROUND(D333*F333,2)</f>
        <v>0</v>
      </c>
    </row>
    <row r="334" spans="1:7" s="160" customFormat="1" x14ac:dyDescent="0.35">
      <c r="A334" s="398"/>
      <c r="B334" s="399"/>
      <c r="C334" s="412" t="s">
        <v>825</v>
      </c>
      <c r="D334" s="409"/>
      <c r="E334" s="401"/>
      <c r="F334" s="411"/>
      <c r="G334" s="402">
        <f t="shared" si="26"/>
        <v>0</v>
      </c>
    </row>
    <row r="335" spans="1:7" s="160" customFormat="1" x14ac:dyDescent="0.35">
      <c r="A335" s="398"/>
      <c r="B335" s="399"/>
      <c r="C335" s="400"/>
      <c r="D335" s="409"/>
      <c r="E335" s="401"/>
      <c r="F335" s="411"/>
      <c r="G335" s="402">
        <f t="shared" si="25"/>
        <v>0</v>
      </c>
    </row>
    <row r="336" spans="1:7" s="160" customFormat="1" x14ac:dyDescent="0.35">
      <c r="A336" s="398"/>
      <c r="B336" s="399"/>
      <c r="C336" s="400"/>
      <c r="D336" s="409"/>
      <c r="E336" s="401"/>
      <c r="F336" s="411"/>
      <c r="G336" s="402">
        <f t="shared" si="25"/>
        <v>0</v>
      </c>
    </row>
    <row r="337" spans="1:7" s="160" customFormat="1" ht="24" thickBot="1" x14ac:dyDescent="0.4">
      <c r="A337" s="398"/>
      <c r="B337" s="399"/>
      <c r="C337" s="400"/>
      <c r="D337" s="409"/>
      <c r="E337" s="401"/>
      <c r="F337" s="411"/>
      <c r="G337" s="402">
        <f t="shared" si="25"/>
        <v>0</v>
      </c>
    </row>
    <row r="338" spans="1:7" s="160" customFormat="1" ht="47.25" thickBot="1" x14ac:dyDescent="0.4">
      <c r="A338" s="398"/>
      <c r="B338" s="399"/>
      <c r="C338" s="400" t="s">
        <v>953</v>
      </c>
      <c r="D338" s="409">
        <v>1</v>
      </c>
      <c r="E338" s="401" t="s">
        <v>819</v>
      </c>
      <c r="F338" s="411"/>
      <c r="G338" s="433">
        <f t="shared" ref="G338" si="27">D338*F338</f>
        <v>0</v>
      </c>
    </row>
    <row r="339" spans="1:7" s="160" customFormat="1" x14ac:dyDescent="0.35">
      <c r="A339" s="398"/>
      <c r="B339" s="399"/>
      <c r="C339" s="400"/>
      <c r="D339" s="409"/>
      <c r="E339" s="401"/>
      <c r="F339" s="411"/>
      <c r="G339" s="402">
        <f t="shared" si="25"/>
        <v>0</v>
      </c>
    </row>
    <row r="340" spans="1:7" s="160" customFormat="1" x14ac:dyDescent="0.35">
      <c r="A340" s="398"/>
      <c r="B340" s="399"/>
      <c r="C340" s="400"/>
      <c r="D340" s="409"/>
      <c r="E340" s="401"/>
      <c r="F340" s="411"/>
      <c r="G340" s="402">
        <f t="shared" si="25"/>
        <v>0</v>
      </c>
    </row>
    <row r="341" spans="1:7" s="160" customFormat="1" x14ac:dyDescent="0.35">
      <c r="A341" s="398"/>
      <c r="B341" s="399"/>
      <c r="C341" s="400"/>
      <c r="D341" s="409"/>
      <c r="E341" s="401"/>
      <c r="F341" s="411"/>
      <c r="G341" s="402">
        <f t="shared" si="25"/>
        <v>0</v>
      </c>
    </row>
    <row r="342" spans="1:7" s="160" customFormat="1" x14ac:dyDescent="0.35">
      <c r="A342" s="398"/>
      <c r="B342" s="399"/>
      <c r="C342" s="400"/>
      <c r="D342" s="409"/>
      <c r="E342" s="401"/>
      <c r="F342" s="411"/>
      <c r="G342" s="402">
        <f t="shared" si="25"/>
        <v>0</v>
      </c>
    </row>
    <row r="343" spans="1:7" s="160" customFormat="1" x14ac:dyDescent="0.35">
      <c r="A343" s="398"/>
      <c r="B343" s="399"/>
      <c r="C343" s="400"/>
      <c r="D343" s="409"/>
      <c r="E343" s="401"/>
      <c r="F343" s="411"/>
      <c r="G343" s="402">
        <f t="shared" si="25"/>
        <v>0</v>
      </c>
    </row>
    <row r="344" spans="1:7" s="160" customFormat="1" ht="69.75" x14ac:dyDescent="0.35">
      <c r="A344" s="398"/>
      <c r="B344" s="399"/>
      <c r="C344" s="400" t="s">
        <v>818</v>
      </c>
      <c r="D344" s="409">
        <v>1</v>
      </c>
      <c r="E344" s="401" t="s">
        <v>756</v>
      </c>
      <c r="F344" s="411"/>
      <c r="G344" s="402">
        <f t="shared" ref="G344" si="28">D344*F344</f>
        <v>0</v>
      </c>
    </row>
    <row r="345" spans="1:7" s="160" customFormat="1" x14ac:dyDescent="0.35">
      <c r="A345" s="398"/>
      <c r="B345" s="399"/>
      <c r="C345" s="400"/>
      <c r="D345" s="409"/>
      <c r="E345" s="401"/>
      <c r="F345" s="411"/>
      <c r="G345" s="402">
        <f t="shared" si="25"/>
        <v>0</v>
      </c>
    </row>
    <row r="346" spans="1:7" s="160" customFormat="1" x14ac:dyDescent="0.35">
      <c r="A346" s="398"/>
      <c r="B346" s="399"/>
      <c r="C346" s="400"/>
      <c r="D346" s="409"/>
      <c r="E346" s="401"/>
      <c r="F346" s="411"/>
      <c r="G346" s="402">
        <f t="shared" ref="G346" si="29">D346*F346</f>
        <v>0</v>
      </c>
    </row>
    <row r="347" spans="1:7" s="160" customFormat="1" x14ac:dyDescent="0.35">
      <c r="A347" s="398"/>
      <c r="B347" s="399"/>
      <c r="C347" s="400"/>
      <c r="D347" s="409"/>
      <c r="E347" s="401"/>
      <c r="F347" s="411"/>
      <c r="G347" s="402">
        <f t="shared" si="25"/>
        <v>0</v>
      </c>
    </row>
    <row r="348" spans="1:7" s="160" customFormat="1" x14ac:dyDescent="0.35">
      <c r="A348" s="398"/>
      <c r="B348" s="399"/>
      <c r="C348" s="400"/>
      <c r="D348" s="409"/>
      <c r="E348" s="401"/>
      <c r="F348" s="411"/>
      <c r="G348" s="402">
        <f t="shared" ref="G348" si="30">D348*F348</f>
        <v>0</v>
      </c>
    </row>
    <row r="349" spans="1:7" s="160" customFormat="1" x14ac:dyDescent="0.35">
      <c r="A349" s="398"/>
      <c r="B349" s="399"/>
      <c r="C349" s="400"/>
      <c r="D349" s="409"/>
      <c r="E349" s="401"/>
      <c r="F349" s="411"/>
      <c r="G349" s="402">
        <f t="shared" si="25"/>
        <v>0</v>
      </c>
    </row>
    <row r="350" spans="1:7" s="160" customFormat="1" x14ac:dyDescent="0.35">
      <c r="A350" s="398"/>
      <c r="B350" s="399"/>
      <c r="C350" s="400"/>
      <c r="D350" s="409"/>
      <c r="E350" s="401"/>
      <c r="F350" s="411"/>
      <c r="G350" s="402">
        <f t="shared" ref="G350" si="31">D350*F350</f>
        <v>0</v>
      </c>
    </row>
    <row r="351" spans="1:7" s="160" customFormat="1" x14ac:dyDescent="0.35">
      <c r="A351" s="398"/>
      <c r="B351" s="399"/>
      <c r="C351" s="400"/>
      <c r="D351" s="409"/>
      <c r="E351" s="401"/>
      <c r="F351" s="411"/>
      <c r="G351" s="402">
        <f t="shared" si="25"/>
        <v>0</v>
      </c>
    </row>
    <row r="352" spans="1:7" s="160" customFormat="1" x14ac:dyDescent="0.35">
      <c r="A352" s="398"/>
      <c r="B352" s="399"/>
      <c r="C352" s="400"/>
      <c r="D352" s="409"/>
      <c r="E352" s="401"/>
      <c r="F352" s="411"/>
      <c r="G352" s="402">
        <f t="shared" si="25"/>
        <v>0</v>
      </c>
    </row>
    <row r="353" spans="1:7" s="160" customFormat="1" x14ac:dyDescent="0.35">
      <c r="A353" s="398"/>
      <c r="B353" s="399"/>
      <c r="C353" s="400"/>
      <c r="D353" s="409"/>
      <c r="E353" s="401"/>
      <c r="F353" s="411"/>
      <c r="G353" s="402">
        <f t="shared" si="25"/>
        <v>0</v>
      </c>
    </row>
    <row r="354" spans="1:7" s="160" customFormat="1" x14ac:dyDescent="0.35">
      <c r="A354" s="398"/>
      <c r="B354" s="399"/>
      <c r="C354" s="400"/>
      <c r="D354" s="409"/>
      <c r="E354" s="401"/>
      <c r="F354" s="411"/>
      <c r="G354" s="402">
        <f t="shared" si="25"/>
        <v>0</v>
      </c>
    </row>
    <row r="355" spans="1:7" s="160" customFormat="1" x14ac:dyDescent="0.35">
      <c r="A355" s="398"/>
      <c r="B355" s="399"/>
      <c r="C355" s="400"/>
      <c r="D355" s="409"/>
      <c r="E355" s="401"/>
      <c r="F355" s="411"/>
      <c r="G355" s="402">
        <f t="shared" si="25"/>
        <v>0</v>
      </c>
    </row>
    <row r="356" spans="1:7" s="160" customFormat="1" x14ac:dyDescent="0.35">
      <c r="A356" s="398"/>
      <c r="B356" s="399"/>
      <c r="C356" s="400"/>
      <c r="D356" s="409"/>
      <c r="E356" s="401"/>
      <c r="F356" s="411"/>
      <c r="G356" s="402">
        <f t="shared" si="25"/>
        <v>0</v>
      </c>
    </row>
    <row r="357" spans="1:7" s="160" customFormat="1" x14ac:dyDescent="0.35">
      <c r="A357" s="398"/>
      <c r="B357" s="399"/>
      <c r="C357" s="400"/>
      <c r="D357" s="409"/>
      <c r="E357" s="401"/>
      <c r="F357" s="411"/>
      <c r="G357" s="402">
        <f t="shared" si="25"/>
        <v>0</v>
      </c>
    </row>
    <row r="358" spans="1:7" s="160" customFormat="1" x14ac:dyDescent="0.35">
      <c r="A358" s="398"/>
      <c r="B358" s="399"/>
      <c r="C358" s="400"/>
      <c r="D358" s="409"/>
      <c r="E358" s="401"/>
      <c r="F358" s="411"/>
      <c r="G358" s="402">
        <f t="shared" si="25"/>
        <v>0</v>
      </c>
    </row>
    <row r="359" spans="1:7" s="160" customFormat="1" x14ac:dyDescent="0.35">
      <c r="A359" s="398"/>
      <c r="B359" s="399"/>
      <c r="C359" s="400"/>
      <c r="D359" s="409"/>
      <c r="E359" s="401"/>
      <c r="F359" s="411"/>
      <c r="G359" s="402">
        <f t="shared" si="25"/>
        <v>0</v>
      </c>
    </row>
    <row r="360" spans="1:7" s="160" customFormat="1" x14ac:dyDescent="0.35">
      <c r="A360" s="398"/>
      <c r="B360" s="399"/>
      <c r="C360" s="400"/>
      <c r="D360" s="409"/>
      <c r="E360" s="401"/>
      <c r="F360" s="411"/>
      <c r="G360" s="402">
        <f t="shared" si="25"/>
        <v>0</v>
      </c>
    </row>
    <row r="361" spans="1:7" s="160" customFormat="1" x14ac:dyDescent="0.35">
      <c r="A361" s="398"/>
      <c r="B361" s="399"/>
      <c r="C361" s="400"/>
      <c r="D361" s="409"/>
      <c r="E361" s="401"/>
      <c r="F361" s="411"/>
      <c r="G361" s="402">
        <f t="shared" si="25"/>
        <v>0</v>
      </c>
    </row>
    <row r="362" spans="1:7" s="160" customFormat="1" x14ac:dyDescent="0.35">
      <c r="A362" s="398"/>
      <c r="B362" s="399"/>
      <c r="C362" s="400"/>
      <c r="D362" s="409"/>
      <c r="E362" s="401"/>
      <c r="F362" s="411"/>
      <c r="G362" s="402">
        <f t="shared" si="25"/>
        <v>0</v>
      </c>
    </row>
    <row r="363" spans="1:7" s="160" customFormat="1" x14ac:dyDescent="0.35">
      <c r="A363" s="398"/>
      <c r="B363" s="399"/>
      <c r="C363" s="400"/>
      <c r="D363" s="409"/>
      <c r="E363" s="401"/>
      <c r="F363" s="411"/>
      <c r="G363" s="402">
        <f t="shared" si="25"/>
        <v>0</v>
      </c>
    </row>
    <row r="364" spans="1:7" s="160" customFormat="1" x14ac:dyDescent="0.35">
      <c r="A364" s="398"/>
      <c r="B364" s="399"/>
      <c r="C364" s="400"/>
      <c r="D364" s="409"/>
      <c r="E364" s="401"/>
      <c r="F364" s="411"/>
      <c r="G364" s="402">
        <f t="shared" si="25"/>
        <v>0</v>
      </c>
    </row>
    <row r="365" spans="1:7" s="160" customFormat="1" x14ac:dyDescent="0.35">
      <c r="A365" s="398"/>
      <c r="B365" s="399"/>
      <c r="C365" s="400"/>
      <c r="D365" s="409"/>
      <c r="E365" s="401"/>
      <c r="F365" s="411"/>
      <c r="G365" s="402">
        <f t="shared" si="25"/>
        <v>0</v>
      </c>
    </row>
    <row r="366" spans="1:7" s="160" customFormat="1" x14ac:dyDescent="0.35">
      <c r="A366" s="398"/>
      <c r="B366" s="399"/>
      <c r="C366" s="400"/>
      <c r="D366" s="409"/>
      <c r="E366" s="401"/>
      <c r="F366" s="411"/>
      <c r="G366" s="402">
        <f t="shared" si="25"/>
        <v>0</v>
      </c>
    </row>
    <row r="367" spans="1:7" s="160" customFormat="1" x14ac:dyDescent="0.35">
      <c r="A367" s="398"/>
      <c r="B367" s="399"/>
      <c r="C367" s="400"/>
      <c r="D367" s="409"/>
      <c r="E367" s="401"/>
      <c r="F367" s="411"/>
      <c r="G367" s="402">
        <f t="shared" si="25"/>
        <v>0</v>
      </c>
    </row>
    <row r="368" spans="1:7" s="160" customFormat="1" x14ac:dyDescent="0.35">
      <c r="A368" s="398"/>
      <c r="B368" s="399"/>
      <c r="C368" s="400"/>
      <c r="D368" s="409"/>
      <c r="E368" s="401"/>
      <c r="F368" s="411"/>
      <c r="G368" s="402">
        <f t="shared" si="25"/>
        <v>0</v>
      </c>
    </row>
    <row r="369" spans="1:7" s="160" customFormat="1" x14ac:dyDescent="0.35">
      <c r="A369" s="398"/>
      <c r="B369" s="399"/>
      <c r="C369" s="400"/>
      <c r="D369" s="409"/>
      <c r="E369" s="401"/>
      <c r="F369" s="411"/>
      <c r="G369" s="402"/>
    </row>
    <row r="370" spans="1:7" s="160" customFormat="1" ht="24" thickBot="1" x14ac:dyDescent="0.4">
      <c r="A370" s="398"/>
      <c r="B370" s="399"/>
      <c r="C370" s="400"/>
      <c r="D370" s="409"/>
      <c r="E370" s="401"/>
      <c r="F370" s="411"/>
      <c r="G370" s="402">
        <f t="shared" si="25"/>
        <v>0</v>
      </c>
    </row>
    <row r="371" spans="1:7" s="160" customFormat="1" ht="24" thickBot="1" x14ac:dyDescent="0.4">
      <c r="A371" s="398"/>
      <c r="B371" s="399"/>
      <c r="C371" s="404" t="s">
        <v>760</v>
      </c>
      <c r="D371" s="409"/>
      <c r="E371" s="401"/>
      <c r="F371" s="411"/>
      <c r="G371" s="405">
        <f>SUM(G336:G370)</f>
        <v>0</v>
      </c>
    </row>
    <row r="372" spans="1:7" s="160" customFormat="1" x14ac:dyDescent="0.35">
      <c r="A372" s="398"/>
      <c r="B372" s="399"/>
      <c r="C372" s="400"/>
      <c r="D372" s="409"/>
      <c r="E372" s="401"/>
      <c r="F372" s="411"/>
      <c r="G372" s="402">
        <f t="shared" si="25"/>
        <v>0</v>
      </c>
    </row>
    <row r="373" spans="1:7" s="160" customFormat="1" x14ac:dyDescent="0.35">
      <c r="A373" s="398"/>
      <c r="B373" s="399"/>
      <c r="C373" s="400"/>
      <c r="D373" s="409"/>
      <c r="E373" s="401"/>
      <c r="F373" s="411"/>
      <c r="G373" s="402">
        <f t="shared" si="25"/>
        <v>0</v>
      </c>
    </row>
    <row r="374" spans="1:7" s="160" customFormat="1" x14ac:dyDescent="0.35">
      <c r="A374" s="398"/>
      <c r="B374" s="399"/>
      <c r="C374" s="400"/>
      <c r="D374" s="409"/>
      <c r="E374" s="401"/>
      <c r="F374" s="411"/>
      <c r="G374" s="402">
        <f t="shared" si="25"/>
        <v>0</v>
      </c>
    </row>
    <row r="375" spans="1:7" s="160" customFormat="1" x14ac:dyDescent="0.35">
      <c r="A375" s="398"/>
      <c r="B375" s="399"/>
      <c r="C375" s="400"/>
      <c r="D375" s="409"/>
      <c r="E375" s="401"/>
      <c r="F375" s="411"/>
      <c r="G375" s="402">
        <f t="shared" si="25"/>
        <v>0</v>
      </c>
    </row>
    <row r="376" spans="1:7" s="160" customFormat="1" x14ac:dyDescent="0.35">
      <c r="A376" s="398"/>
      <c r="B376" s="399"/>
      <c r="C376" s="400"/>
      <c r="D376" s="409"/>
      <c r="E376" s="401"/>
      <c r="F376" s="411"/>
      <c r="G376" s="402">
        <f t="shared" si="25"/>
        <v>0</v>
      </c>
    </row>
    <row r="377" spans="1:7" s="160" customFormat="1" ht="24" thickBot="1" x14ac:dyDescent="0.4">
      <c r="A377" s="398"/>
      <c r="B377" s="399"/>
      <c r="C377" s="400"/>
      <c r="D377" s="409"/>
      <c r="E377" s="401"/>
      <c r="F377" s="411"/>
      <c r="G377" s="402">
        <f t="shared" si="25"/>
        <v>0</v>
      </c>
    </row>
    <row r="378" spans="1:7" ht="18.75" customHeight="1" x14ac:dyDescent="0.35">
      <c r="A378" s="383"/>
      <c r="B378" s="384"/>
      <c r="C378" s="385"/>
      <c r="D378" s="386"/>
      <c r="E378" s="387"/>
      <c r="F378" s="410"/>
      <c r="G378" s="387"/>
    </row>
    <row r="379" spans="1:7" s="160" customFormat="1" x14ac:dyDescent="0.35">
      <c r="A379" s="388"/>
      <c r="B379" s="389"/>
      <c r="C379" s="390"/>
      <c r="D379" s="391"/>
      <c r="E379" s="391"/>
      <c r="F379" s="393" t="s">
        <v>2</v>
      </c>
      <c r="G379" s="393"/>
    </row>
    <row r="380" spans="1:7" s="160" customFormat="1" ht="24" thickBot="1" x14ac:dyDescent="0.4">
      <c r="A380" s="394"/>
      <c r="B380" s="395"/>
      <c r="C380" s="396" t="s">
        <v>753</v>
      </c>
      <c r="D380" s="397" t="s">
        <v>3</v>
      </c>
      <c r="E380" s="397" t="s">
        <v>1</v>
      </c>
      <c r="F380" s="397" t="s">
        <v>4</v>
      </c>
      <c r="G380" s="397" t="s">
        <v>5</v>
      </c>
    </row>
    <row r="381" spans="1:7" s="160" customFormat="1" ht="18" customHeight="1" x14ac:dyDescent="0.35">
      <c r="A381" s="398"/>
      <c r="B381" s="399"/>
      <c r="C381" s="400"/>
      <c r="D381" s="409"/>
      <c r="E381" s="401"/>
      <c r="F381" s="411"/>
      <c r="G381" s="402">
        <f t="shared" ref="G381:G382" si="32">ROUND(D381*F381,2)</f>
        <v>0</v>
      </c>
    </row>
    <row r="382" spans="1:7" s="160" customFormat="1" ht="46.5" x14ac:dyDescent="0.35">
      <c r="A382" s="398"/>
      <c r="B382" s="399"/>
      <c r="C382" s="412" t="s">
        <v>885</v>
      </c>
      <c r="D382" s="409"/>
      <c r="E382" s="401"/>
      <c r="F382" s="411"/>
      <c r="G382" s="402">
        <f t="shared" si="32"/>
        <v>0</v>
      </c>
    </row>
    <row r="383" spans="1:7" s="160" customFormat="1" x14ac:dyDescent="0.35">
      <c r="A383" s="398"/>
      <c r="B383" s="399"/>
      <c r="C383" s="400"/>
      <c r="D383" s="409"/>
      <c r="E383" s="401"/>
      <c r="F383" s="411"/>
      <c r="G383" s="402">
        <f t="shared" si="25"/>
        <v>0</v>
      </c>
    </row>
    <row r="384" spans="1:7" s="160" customFormat="1" ht="93" x14ac:dyDescent="0.35">
      <c r="A384" s="398"/>
      <c r="B384" s="399"/>
      <c r="C384" s="400" t="s">
        <v>829</v>
      </c>
      <c r="D384" s="409">
        <v>54</v>
      </c>
      <c r="E384" s="401" t="s">
        <v>772</v>
      </c>
      <c r="F384" s="411"/>
      <c r="G384" s="402">
        <f t="shared" ref="G384:G402" si="33">D384*F384</f>
        <v>0</v>
      </c>
    </row>
    <row r="385" spans="1:7" s="160" customFormat="1" x14ac:dyDescent="0.35">
      <c r="A385" s="398"/>
      <c r="B385" s="399"/>
      <c r="C385" s="400"/>
      <c r="D385" s="409"/>
      <c r="E385" s="401"/>
      <c r="F385" s="411"/>
      <c r="G385" s="402">
        <f t="shared" si="33"/>
        <v>0</v>
      </c>
    </row>
    <row r="386" spans="1:7" s="160" customFormat="1" ht="116.25" x14ac:dyDescent="0.35">
      <c r="A386" s="398"/>
      <c r="B386" s="399"/>
      <c r="C386" s="400" t="s">
        <v>831</v>
      </c>
      <c r="D386" s="409">
        <v>282</v>
      </c>
      <c r="E386" s="401" t="s">
        <v>772</v>
      </c>
      <c r="F386" s="411"/>
      <c r="G386" s="402">
        <f t="shared" si="33"/>
        <v>0</v>
      </c>
    </row>
    <row r="387" spans="1:7" s="160" customFormat="1" x14ac:dyDescent="0.35">
      <c r="A387" s="398"/>
      <c r="B387" s="399"/>
      <c r="C387" s="400"/>
      <c r="D387" s="409"/>
      <c r="E387" s="401"/>
      <c r="F387" s="411"/>
      <c r="G387" s="402">
        <f t="shared" si="33"/>
        <v>0</v>
      </c>
    </row>
    <row r="388" spans="1:7" s="160" customFormat="1" ht="93" x14ac:dyDescent="0.35">
      <c r="A388" s="398"/>
      <c r="B388" s="399"/>
      <c r="C388" s="400" t="s">
        <v>828</v>
      </c>
      <c r="D388" s="409">
        <v>20</v>
      </c>
      <c r="E388" s="401" t="s">
        <v>26</v>
      </c>
      <c r="F388" s="411"/>
      <c r="G388" s="402">
        <f t="shared" si="33"/>
        <v>0</v>
      </c>
    </row>
    <row r="389" spans="1:7" s="160" customFormat="1" x14ac:dyDescent="0.35">
      <c r="A389" s="398"/>
      <c r="B389" s="399"/>
      <c r="C389" s="400"/>
      <c r="D389" s="409"/>
      <c r="E389" s="401"/>
      <c r="F389" s="411"/>
      <c r="G389" s="402">
        <f t="shared" si="33"/>
        <v>0</v>
      </c>
    </row>
    <row r="390" spans="1:7" s="160" customFormat="1" ht="69.75" x14ac:dyDescent="0.35">
      <c r="A390" s="398"/>
      <c r="B390" s="399"/>
      <c r="C390" s="400" t="s">
        <v>827</v>
      </c>
      <c r="D390" s="409">
        <v>164</v>
      </c>
      <c r="E390" s="401" t="s">
        <v>26</v>
      </c>
      <c r="F390" s="411"/>
      <c r="G390" s="402">
        <f t="shared" si="33"/>
        <v>0</v>
      </c>
    </row>
    <row r="391" spans="1:7" s="160" customFormat="1" x14ac:dyDescent="0.35">
      <c r="A391" s="398"/>
      <c r="B391" s="399"/>
      <c r="C391" s="400"/>
      <c r="D391" s="409"/>
      <c r="E391" s="401"/>
      <c r="F391" s="411"/>
      <c r="G391" s="402">
        <f t="shared" si="33"/>
        <v>0</v>
      </c>
    </row>
    <row r="392" spans="1:7" s="160" customFormat="1" x14ac:dyDescent="0.35">
      <c r="A392" s="398"/>
      <c r="B392" s="399"/>
      <c r="C392" s="400" t="s">
        <v>826</v>
      </c>
      <c r="D392" s="409">
        <v>12</v>
      </c>
      <c r="E392" s="401" t="s">
        <v>761</v>
      </c>
      <c r="F392" s="411"/>
      <c r="G392" s="402">
        <f t="shared" si="33"/>
        <v>0</v>
      </c>
    </row>
    <row r="393" spans="1:7" s="160" customFormat="1" x14ac:dyDescent="0.35">
      <c r="A393" s="398"/>
      <c r="B393" s="399"/>
      <c r="C393" s="400"/>
      <c r="D393" s="409"/>
      <c r="E393" s="401"/>
      <c r="F393" s="411"/>
      <c r="G393" s="402">
        <f t="shared" si="33"/>
        <v>0</v>
      </c>
    </row>
    <row r="394" spans="1:7" s="160" customFormat="1" ht="46.5" x14ac:dyDescent="0.35">
      <c r="A394" s="398"/>
      <c r="B394" s="399"/>
      <c r="C394" s="400" t="s">
        <v>846</v>
      </c>
      <c r="D394" s="409">
        <v>42</v>
      </c>
      <c r="E394" s="401" t="s">
        <v>777</v>
      </c>
      <c r="F394" s="411"/>
      <c r="G394" s="402">
        <f t="shared" si="33"/>
        <v>0</v>
      </c>
    </row>
    <row r="395" spans="1:7" s="160" customFormat="1" x14ac:dyDescent="0.35">
      <c r="A395" s="398"/>
      <c r="B395" s="399"/>
      <c r="C395" s="400"/>
      <c r="D395" s="409"/>
      <c r="E395" s="401"/>
      <c r="F395" s="411"/>
      <c r="G395" s="402">
        <f t="shared" si="33"/>
        <v>0</v>
      </c>
    </row>
    <row r="396" spans="1:7" s="160" customFormat="1" ht="46.5" x14ac:dyDescent="0.35">
      <c r="A396" s="398"/>
      <c r="B396" s="399"/>
      <c r="C396" s="400" t="s">
        <v>847</v>
      </c>
      <c r="D396" s="409">
        <v>6</v>
      </c>
      <c r="E396" s="401" t="s">
        <v>824</v>
      </c>
      <c r="F396" s="411"/>
      <c r="G396" s="402">
        <f t="shared" si="33"/>
        <v>0</v>
      </c>
    </row>
    <row r="397" spans="1:7" s="160" customFormat="1" x14ac:dyDescent="0.35">
      <c r="A397" s="398"/>
      <c r="B397" s="399"/>
      <c r="C397" s="400"/>
      <c r="D397" s="409"/>
      <c r="E397" s="401"/>
      <c r="F397" s="411"/>
      <c r="G397" s="402">
        <f t="shared" si="33"/>
        <v>0</v>
      </c>
    </row>
    <row r="398" spans="1:7" s="160" customFormat="1" ht="93" x14ac:dyDescent="0.35">
      <c r="A398" s="398"/>
      <c r="B398" s="399"/>
      <c r="C398" s="400" t="s">
        <v>888</v>
      </c>
      <c r="D398" s="409">
        <v>44</v>
      </c>
      <c r="E398" s="401" t="s">
        <v>26</v>
      </c>
      <c r="F398" s="411"/>
      <c r="G398" s="402">
        <f>D398*F398</f>
        <v>0</v>
      </c>
    </row>
    <row r="399" spans="1:7" s="160" customFormat="1" x14ac:dyDescent="0.35">
      <c r="A399" s="398"/>
      <c r="B399" s="399"/>
      <c r="C399" s="400"/>
      <c r="D399" s="409"/>
      <c r="E399" s="401"/>
      <c r="F399" s="411"/>
      <c r="G399" s="402">
        <f t="shared" si="33"/>
        <v>0</v>
      </c>
    </row>
    <row r="400" spans="1:7" s="160" customFormat="1" ht="46.5" x14ac:dyDescent="0.35">
      <c r="A400" s="398"/>
      <c r="B400" s="399"/>
      <c r="C400" s="400" t="s">
        <v>889</v>
      </c>
      <c r="D400" s="409">
        <v>6</v>
      </c>
      <c r="E400" s="401" t="s">
        <v>761</v>
      </c>
      <c r="F400" s="411"/>
      <c r="G400" s="402">
        <f t="shared" si="33"/>
        <v>0</v>
      </c>
    </row>
    <row r="401" spans="1:7" s="160" customFormat="1" x14ac:dyDescent="0.35">
      <c r="A401" s="398"/>
      <c r="B401" s="399"/>
      <c r="C401" s="400"/>
      <c r="D401" s="409"/>
      <c r="E401" s="401"/>
      <c r="F401" s="411"/>
      <c r="G401" s="402">
        <f t="shared" si="33"/>
        <v>0</v>
      </c>
    </row>
    <row r="402" spans="1:7" s="160" customFormat="1" ht="46.5" x14ac:dyDescent="0.35">
      <c r="A402" s="398"/>
      <c r="B402" s="399"/>
      <c r="C402" s="400" t="s">
        <v>886</v>
      </c>
      <c r="D402" s="409">
        <v>36</v>
      </c>
      <c r="E402" s="401" t="s">
        <v>26</v>
      </c>
      <c r="F402" s="411"/>
      <c r="G402" s="402">
        <f t="shared" si="33"/>
        <v>0</v>
      </c>
    </row>
    <row r="403" spans="1:7" s="160" customFormat="1" x14ac:dyDescent="0.35">
      <c r="A403" s="398"/>
      <c r="B403" s="399"/>
      <c r="C403" s="400"/>
      <c r="D403" s="409"/>
      <c r="E403" s="401"/>
      <c r="F403" s="411"/>
      <c r="G403" s="402">
        <f t="shared" ref="G403:G407" si="34">ROUND(D403*F403,2)</f>
        <v>0</v>
      </c>
    </row>
    <row r="404" spans="1:7" s="160" customFormat="1" ht="46.5" x14ac:dyDescent="0.35">
      <c r="A404" s="398"/>
      <c r="B404" s="399"/>
      <c r="C404" s="400" t="s">
        <v>887</v>
      </c>
      <c r="D404" s="409">
        <v>36</v>
      </c>
      <c r="E404" s="401" t="s">
        <v>26</v>
      </c>
      <c r="F404" s="411"/>
      <c r="G404" s="402">
        <f t="shared" si="34"/>
        <v>0</v>
      </c>
    </row>
    <row r="405" spans="1:7" s="160" customFormat="1" x14ac:dyDescent="0.35">
      <c r="A405" s="398"/>
      <c r="B405" s="399"/>
      <c r="C405" s="400"/>
      <c r="D405" s="409"/>
      <c r="E405" s="401"/>
      <c r="F405" s="411"/>
      <c r="G405" s="402">
        <f t="shared" si="34"/>
        <v>0</v>
      </c>
    </row>
    <row r="406" spans="1:7" s="160" customFormat="1" x14ac:dyDescent="0.35">
      <c r="A406" s="398"/>
      <c r="B406" s="399"/>
      <c r="C406" s="400" t="s">
        <v>830</v>
      </c>
      <c r="D406" s="409">
        <v>1</v>
      </c>
      <c r="E406" s="401" t="s">
        <v>819</v>
      </c>
      <c r="F406" s="411"/>
      <c r="G406" s="402">
        <f t="shared" si="34"/>
        <v>0</v>
      </c>
    </row>
    <row r="407" spans="1:7" s="160" customFormat="1" ht="24" thickBot="1" x14ac:dyDescent="0.4">
      <c r="A407" s="398"/>
      <c r="B407" s="399"/>
      <c r="C407" s="400"/>
      <c r="D407" s="409"/>
      <c r="E407" s="401"/>
      <c r="F407" s="411"/>
      <c r="G407" s="402">
        <f t="shared" si="34"/>
        <v>0</v>
      </c>
    </row>
    <row r="408" spans="1:7" s="160" customFormat="1" ht="24" thickBot="1" x14ac:dyDescent="0.4">
      <c r="A408" s="398"/>
      <c r="B408" s="399"/>
      <c r="C408" s="404" t="s">
        <v>760</v>
      </c>
      <c r="D408" s="409"/>
      <c r="E408" s="401"/>
      <c r="F408" s="411"/>
      <c r="G408" s="405">
        <f>SUM(G382:G407)</f>
        <v>0</v>
      </c>
    </row>
    <row r="409" spans="1:7" ht="18.75" customHeight="1" x14ac:dyDescent="0.35">
      <c r="A409" s="383"/>
      <c r="B409" s="384"/>
      <c r="C409" s="385"/>
      <c r="D409" s="386"/>
      <c r="E409" s="387"/>
      <c r="F409" s="410"/>
      <c r="G409" s="387"/>
    </row>
    <row r="410" spans="1:7" s="160" customFormat="1" x14ac:dyDescent="0.35">
      <c r="A410" s="388"/>
      <c r="B410" s="389"/>
      <c r="C410" s="390"/>
      <c r="D410" s="391"/>
      <c r="E410" s="391"/>
      <c r="F410" s="393" t="s">
        <v>2</v>
      </c>
      <c r="G410" s="393"/>
    </row>
    <row r="411" spans="1:7" s="160" customFormat="1" ht="24" thickBot="1" x14ac:dyDescent="0.4">
      <c r="A411" s="394"/>
      <c r="B411" s="395"/>
      <c r="C411" s="396" t="s">
        <v>753</v>
      </c>
      <c r="D411" s="397" t="s">
        <v>3</v>
      </c>
      <c r="E411" s="397" t="s">
        <v>1</v>
      </c>
      <c r="F411" s="397" t="s">
        <v>4</v>
      </c>
      <c r="G411" s="397" t="s">
        <v>5</v>
      </c>
    </row>
    <row r="412" spans="1:7" s="160" customFormat="1" ht="18" customHeight="1" x14ac:dyDescent="0.35">
      <c r="A412" s="398"/>
      <c r="B412" s="399"/>
      <c r="C412" s="400"/>
      <c r="D412" s="409"/>
      <c r="E412" s="401"/>
      <c r="F412" s="411"/>
      <c r="G412" s="402">
        <f t="shared" ref="G412:G438" si="35">ROUND(D412*F412,2)</f>
        <v>0</v>
      </c>
    </row>
    <row r="413" spans="1:7" s="160" customFormat="1" x14ac:dyDescent="0.35">
      <c r="A413" s="398"/>
      <c r="B413" s="399"/>
      <c r="C413" s="412" t="s">
        <v>835</v>
      </c>
      <c r="D413" s="409"/>
      <c r="E413" s="401"/>
      <c r="F413" s="411"/>
      <c r="G413" s="402">
        <f t="shared" si="35"/>
        <v>0</v>
      </c>
    </row>
    <row r="414" spans="1:7" s="160" customFormat="1" x14ac:dyDescent="0.35">
      <c r="A414" s="398"/>
      <c r="B414" s="399"/>
      <c r="C414" s="400"/>
      <c r="D414" s="409"/>
      <c r="E414" s="401"/>
      <c r="F414" s="411"/>
      <c r="G414" s="402">
        <f t="shared" si="35"/>
        <v>0</v>
      </c>
    </row>
    <row r="415" spans="1:7" s="160" customFormat="1" ht="46.5" x14ac:dyDescent="0.35">
      <c r="A415" s="398"/>
      <c r="B415" s="399"/>
      <c r="C415" s="400" t="s">
        <v>833</v>
      </c>
      <c r="D415" s="409">
        <v>130</v>
      </c>
      <c r="E415" s="401" t="s">
        <v>772</v>
      </c>
      <c r="F415" s="411"/>
      <c r="G415" s="402">
        <f t="shared" ref="G415:G430" si="36">D415*F415</f>
        <v>0</v>
      </c>
    </row>
    <row r="416" spans="1:7" s="160" customFormat="1" x14ac:dyDescent="0.35">
      <c r="A416" s="398"/>
      <c r="B416" s="399"/>
      <c r="C416" s="400"/>
      <c r="D416" s="409"/>
      <c r="E416" s="401"/>
      <c r="F416" s="411"/>
      <c r="G416" s="402">
        <f t="shared" si="36"/>
        <v>0</v>
      </c>
    </row>
    <row r="417" spans="1:7" s="160" customFormat="1" ht="46.5" x14ac:dyDescent="0.35">
      <c r="A417" s="398"/>
      <c r="B417" s="399"/>
      <c r="C417" s="400" t="s">
        <v>894</v>
      </c>
      <c r="D417" s="409">
        <v>130</v>
      </c>
      <c r="E417" s="401" t="s">
        <v>772</v>
      </c>
      <c r="F417" s="411"/>
      <c r="G417" s="402">
        <f t="shared" si="36"/>
        <v>0</v>
      </c>
    </row>
    <row r="418" spans="1:7" s="160" customFormat="1" x14ac:dyDescent="0.35">
      <c r="A418" s="398"/>
      <c r="B418" s="399"/>
      <c r="C418" s="400"/>
      <c r="D418" s="409"/>
      <c r="E418" s="401"/>
      <c r="F418" s="411"/>
      <c r="G418" s="402">
        <f t="shared" si="36"/>
        <v>0</v>
      </c>
    </row>
    <row r="419" spans="1:7" s="160" customFormat="1" ht="69.75" x14ac:dyDescent="0.35">
      <c r="A419" s="398"/>
      <c r="B419" s="399"/>
      <c r="C419" s="400" t="s">
        <v>895</v>
      </c>
      <c r="D419" s="409">
        <v>94</v>
      </c>
      <c r="E419" s="401" t="s">
        <v>26</v>
      </c>
      <c r="F419" s="411"/>
      <c r="G419" s="402">
        <f t="shared" si="36"/>
        <v>0</v>
      </c>
    </row>
    <row r="420" spans="1:7" s="160" customFormat="1" x14ac:dyDescent="0.35">
      <c r="A420" s="398"/>
      <c r="B420" s="399"/>
      <c r="C420" s="400"/>
      <c r="D420" s="409"/>
      <c r="E420" s="401"/>
      <c r="F420" s="411"/>
      <c r="G420" s="402">
        <f t="shared" si="36"/>
        <v>0</v>
      </c>
    </row>
    <row r="421" spans="1:7" s="160" customFormat="1" ht="46.5" x14ac:dyDescent="0.35">
      <c r="A421" s="398"/>
      <c r="B421" s="399"/>
      <c r="C421" s="400" t="s">
        <v>896</v>
      </c>
      <c r="D421" s="409">
        <v>76</v>
      </c>
      <c r="E421" s="401" t="s">
        <v>772</v>
      </c>
      <c r="F421" s="411"/>
      <c r="G421" s="402">
        <f t="shared" si="36"/>
        <v>0</v>
      </c>
    </row>
    <row r="422" spans="1:7" s="160" customFormat="1" x14ac:dyDescent="0.35">
      <c r="A422" s="398"/>
      <c r="B422" s="399"/>
      <c r="C422" s="400"/>
      <c r="D422" s="409"/>
      <c r="E422" s="401"/>
      <c r="F422" s="411"/>
      <c r="G422" s="402">
        <f t="shared" si="36"/>
        <v>0</v>
      </c>
    </row>
    <row r="423" spans="1:7" s="160" customFormat="1" ht="119.25" x14ac:dyDescent="0.35">
      <c r="A423" s="398"/>
      <c r="B423" s="399"/>
      <c r="C423" s="400" t="s">
        <v>942</v>
      </c>
      <c r="D423" s="409">
        <v>502</v>
      </c>
      <c r="E423" s="401" t="s">
        <v>772</v>
      </c>
      <c r="F423" s="411"/>
      <c r="G423" s="402">
        <f t="shared" si="36"/>
        <v>0</v>
      </c>
    </row>
    <row r="424" spans="1:7" s="160" customFormat="1" x14ac:dyDescent="0.35">
      <c r="A424" s="398"/>
      <c r="B424" s="399"/>
      <c r="C424" s="400"/>
      <c r="D424" s="409"/>
      <c r="E424" s="401"/>
      <c r="F424" s="411"/>
      <c r="G424" s="402">
        <f t="shared" si="36"/>
        <v>0</v>
      </c>
    </row>
    <row r="425" spans="1:7" s="160" customFormat="1" ht="119.25" x14ac:dyDescent="0.35">
      <c r="A425" s="398"/>
      <c r="B425" s="399"/>
      <c r="C425" s="400" t="s">
        <v>943</v>
      </c>
      <c r="D425" s="409">
        <v>76</v>
      </c>
      <c r="E425" s="401" t="s">
        <v>772</v>
      </c>
      <c r="F425" s="411"/>
      <c r="G425" s="402">
        <f t="shared" si="36"/>
        <v>0</v>
      </c>
    </row>
    <row r="426" spans="1:7" s="160" customFormat="1" x14ac:dyDescent="0.35">
      <c r="A426" s="398"/>
      <c r="B426" s="399"/>
      <c r="C426" s="400"/>
      <c r="D426" s="409"/>
      <c r="E426" s="401"/>
      <c r="F426" s="411"/>
      <c r="G426" s="402">
        <f t="shared" si="36"/>
        <v>0</v>
      </c>
    </row>
    <row r="427" spans="1:7" s="160" customFormat="1" ht="119.25" x14ac:dyDescent="0.35">
      <c r="A427" s="398"/>
      <c r="B427" s="399"/>
      <c r="C427" s="400" t="s">
        <v>837</v>
      </c>
      <c r="D427" s="409">
        <v>348</v>
      </c>
      <c r="E427" s="401" t="s">
        <v>26</v>
      </c>
      <c r="F427" s="411"/>
      <c r="G427" s="402">
        <f t="shared" si="36"/>
        <v>0</v>
      </c>
    </row>
    <row r="428" spans="1:7" s="160" customFormat="1" x14ac:dyDescent="0.35">
      <c r="A428" s="398"/>
      <c r="B428" s="399"/>
      <c r="C428" s="400"/>
      <c r="D428" s="409"/>
      <c r="E428" s="401"/>
      <c r="F428" s="411"/>
      <c r="G428" s="402">
        <f t="shared" si="36"/>
        <v>0</v>
      </c>
    </row>
    <row r="429" spans="1:7" s="160" customFormat="1" ht="142.5" x14ac:dyDescent="0.35">
      <c r="A429" s="398"/>
      <c r="B429" s="399"/>
      <c r="C429" s="400" t="s">
        <v>944</v>
      </c>
      <c r="D429" s="409">
        <v>274</v>
      </c>
      <c r="E429" s="401" t="s">
        <v>772</v>
      </c>
      <c r="F429" s="411"/>
      <c r="G429" s="402">
        <f>D429*F429</f>
        <v>0</v>
      </c>
    </row>
    <row r="430" spans="1:7" s="160" customFormat="1" x14ac:dyDescent="0.35">
      <c r="A430" s="398"/>
      <c r="B430" s="399"/>
      <c r="C430" s="400"/>
      <c r="D430" s="409"/>
      <c r="E430" s="401"/>
      <c r="F430" s="411"/>
      <c r="G430" s="402">
        <f t="shared" si="36"/>
        <v>0</v>
      </c>
    </row>
    <row r="431" spans="1:7" s="160" customFormat="1" x14ac:dyDescent="0.35">
      <c r="A431" s="398"/>
      <c r="B431" s="399"/>
      <c r="C431" s="400"/>
      <c r="D431" s="409"/>
      <c r="E431" s="401"/>
      <c r="F431" s="411"/>
      <c r="G431" s="402">
        <f t="shared" si="35"/>
        <v>0</v>
      </c>
    </row>
    <row r="432" spans="1:7" s="160" customFormat="1" x14ac:dyDescent="0.35">
      <c r="A432" s="398"/>
      <c r="B432" s="399"/>
      <c r="C432" s="400"/>
      <c r="D432" s="409"/>
      <c r="E432" s="401"/>
      <c r="F432" s="411"/>
      <c r="G432" s="402"/>
    </row>
    <row r="433" spans="1:7" s="160" customFormat="1" x14ac:dyDescent="0.35">
      <c r="A433" s="398"/>
      <c r="B433" s="399"/>
      <c r="C433" s="400"/>
      <c r="D433" s="409"/>
      <c r="E433" s="401"/>
      <c r="F433" s="411"/>
      <c r="G433" s="402"/>
    </row>
    <row r="434" spans="1:7" s="160" customFormat="1" ht="24" thickBot="1" x14ac:dyDescent="0.4">
      <c r="A434" s="398"/>
      <c r="B434" s="399"/>
      <c r="C434" s="400"/>
      <c r="D434" s="409"/>
      <c r="E434" s="401"/>
      <c r="F434" s="411"/>
      <c r="G434" s="402"/>
    </row>
    <row r="435" spans="1:7" s="160" customFormat="1" ht="24" thickBot="1" x14ac:dyDescent="0.4">
      <c r="A435" s="398"/>
      <c r="B435" s="399"/>
      <c r="C435" s="404" t="s">
        <v>760</v>
      </c>
      <c r="D435" s="409"/>
      <c r="E435" s="401"/>
      <c r="F435" s="411"/>
      <c r="G435" s="405">
        <f>SUM(G414:G434)</f>
        <v>0</v>
      </c>
    </row>
    <row r="436" spans="1:7" s="160" customFormat="1" x14ac:dyDescent="0.35">
      <c r="A436" s="398"/>
      <c r="B436" s="399"/>
      <c r="C436" s="400"/>
      <c r="D436" s="409"/>
      <c r="E436" s="401"/>
      <c r="F436" s="411"/>
      <c r="G436" s="402"/>
    </row>
    <row r="437" spans="1:7" s="160" customFormat="1" x14ac:dyDescent="0.35">
      <c r="A437" s="398"/>
      <c r="B437" s="399"/>
      <c r="C437" s="400"/>
      <c r="D437" s="409"/>
      <c r="E437" s="401"/>
      <c r="F437" s="411"/>
      <c r="G437" s="402">
        <f t="shared" si="35"/>
        <v>0</v>
      </c>
    </row>
    <row r="438" spans="1:7" s="160" customFormat="1" ht="24" thickBot="1" x14ac:dyDescent="0.4">
      <c r="A438" s="398"/>
      <c r="B438" s="399"/>
      <c r="C438" s="400"/>
      <c r="D438" s="409"/>
      <c r="E438" s="401"/>
      <c r="F438" s="411"/>
      <c r="G438" s="402">
        <f t="shared" si="35"/>
        <v>0</v>
      </c>
    </row>
    <row r="439" spans="1:7" ht="18.75" customHeight="1" x14ac:dyDescent="0.35">
      <c r="A439" s="383"/>
      <c r="B439" s="384"/>
      <c r="C439" s="385"/>
      <c r="D439" s="386"/>
      <c r="E439" s="387"/>
      <c r="F439" s="410"/>
      <c r="G439" s="387"/>
    </row>
    <row r="440" spans="1:7" s="160" customFormat="1" x14ac:dyDescent="0.35">
      <c r="A440" s="388"/>
      <c r="B440" s="389"/>
      <c r="C440" s="390"/>
      <c r="D440" s="391"/>
      <c r="E440" s="391"/>
      <c r="F440" s="393" t="s">
        <v>2</v>
      </c>
      <c r="G440" s="393"/>
    </row>
    <row r="441" spans="1:7" s="160" customFormat="1" ht="24" thickBot="1" x14ac:dyDescent="0.4">
      <c r="A441" s="394"/>
      <c r="B441" s="395"/>
      <c r="C441" s="396" t="s">
        <v>753</v>
      </c>
      <c r="D441" s="397" t="s">
        <v>3</v>
      </c>
      <c r="E441" s="397" t="s">
        <v>1</v>
      </c>
      <c r="F441" s="397" t="s">
        <v>4</v>
      </c>
      <c r="G441" s="397" t="s">
        <v>5</v>
      </c>
    </row>
    <row r="442" spans="1:7" s="160" customFormat="1" ht="18" customHeight="1" x14ac:dyDescent="0.35">
      <c r="A442" s="398"/>
      <c r="B442" s="399"/>
      <c r="C442" s="400"/>
      <c r="D442" s="409"/>
      <c r="E442" s="401"/>
      <c r="F442" s="411"/>
      <c r="G442" s="402">
        <f t="shared" ref="G442:G443" si="37">ROUND(D442*F442,2)</f>
        <v>0</v>
      </c>
    </row>
    <row r="443" spans="1:7" s="160" customFormat="1" x14ac:dyDescent="0.35">
      <c r="A443" s="398"/>
      <c r="B443" s="399"/>
      <c r="C443" s="412" t="s">
        <v>836</v>
      </c>
      <c r="D443" s="409"/>
      <c r="E443" s="401"/>
      <c r="F443" s="411"/>
      <c r="G443" s="402">
        <f t="shared" si="37"/>
        <v>0</v>
      </c>
    </row>
    <row r="444" spans="1:7" s="160" customFormat="1" x14ac:dyDescent="0.35">
      <c r="A444" s="398"/>
      <c r="B444" s="399"/>
      <c r="C444" s="400"/>
      <c r="D444" s="409"/>
      <c r="E444" s="401"/>
      <c r="F444" s="411"/>
      <c r="G444" s="402">
        <f t="shared" ref="G444:G460" si="38">D444*F444</f>
        <v>0</v>
      </c>
    </row>
    <row r="445" spans="1:7" s="160" customFormat="1" ht="119.25" x14ac:dyDescent="0.35">
      <c r="A445" s="398"/>
      <c r="B445" s="399"/>
      <c r="C445" s="400" t="s">
        <v>945</v>
      </c>
      <c r="D445" s="409">
        <v>28</v>
      </c>
      <c r="E445" s="401" t="s">
        <v>26</v>
      </c>
      <c r="F445" s="411"/>
      <c r="G445" s="402">
        <f t="shared" si="38"/>
        <v>0</v>
      </c>
    </row>
    <row r="446" spans="1:7" s="160" customFormat="1" x14ac:dyDescent="0.35">
      <c r="A446" s="398"/>
      <c r="B446" s="399"/>
      <c r="C446" s="400"/>
      <c r="D446" s="409"/>
      <c r="E446" s="401"/>
      <c r="F446" s="411"/>
      <c r="G446" s="402">
        <f t="shared" si="38"/>
        <v>0</v>
      </c>
    </row>
    <row r="447" spans="1:7" s="160" customFormat="1" ht="119.25" x14ac:dyDescent="0.35">
      <c r="A447" s="398"/>
      <c r="B447" s="399"/>
      <c r="C447" s="400" t="s">
        <v>946</v>
      </c>
      <c r="D447" s="409">
        <v>36</v>
      </c>
      <c r="E447" s="401" t="s">
        <v>26</v>
      </c>
      <c r="F447" s="411"/>
      <c r="G447" s="402">
        <f t="shared" si="38"/>
        <v>0</v>
      </c>
    </row>
    <row r="448" spans="1:7" s="160" customFormat="1" x14ac:dyDescent="0.35">
      <c r="A448" s="398"/>
      <c r="B448" s="399"/>
      <c r="C448" s="400"/>
      <c r="D448" s="409"/>
      <c r="E448" s="401"/>
      <c r="F448" s="411"/>
      <c r="G448" s="402">
        <f t="shared" si="38"/>
        <v>0</v>
      </c>
    </row>
    <row r="449" spans="1:7" s="160" customFormat="1" ht="119.25" x14ac:dyDescent="0.35">
      <c r="A449" s="398"/>
      <c r="B449" s="399"/>
      <c r="C449" s="400" t="s">
        <v>947</v>
      </c>
      <c r="D449" s="409">
        <v>12</v>
      </c>
      <c r="E449" s="401" t="s">
        <v>26</v>
      </c>
      <c r="F449" s="411"/>
      <c r="G449" s="402">
        <f t="shared" si="38"/>
        <v>0</v>
      </c>
    </row>
    <row r="450" spans="1:7" s="160" customFormat="1" x14ac:dyDescent="0.35">
      <c r="A450" s="398"/>
      <c r="B450" s="399"/>
      <c r="C450" s="400"/>
      <c r="D450" s="409"/>
      <c r="E450" s="401"/>
      <c r="F450" s="411"/>
      <c r="G450" s="402">
        <f t="shared" si="38"/>
        <v>0</v>
      </c>
    </row>
    <row r="451" spans="1:7" s="160" customFormat="1" ht="119.25" x14ac:dyDescent="0.35">
      <c r="A451" s="398"/>
      <c r="B451" s="399"/>
      <c r="C451" s="400" t="s">
        <v>948</v>
      </c>
      <c r="D451" s="409">
        <v>60</v>
      </c>
      <c r="E451" s="401" t="s">
        <v>26</v>
      </c>
      <c r="F451" s="411"/>
      <c r="G451" s="402">
        <f t="shared" si="38"/>
        <v>0</v>
      </c>
    </row>
    <row r="452" spans="1:7" s="160" customFormat="1" x14ac:dyDescent="0.35">
      <c r="A452" s="398"/>
      <c r="B452" s="399"/>
      <c r="C452" s="400"/>
      <c r="D452" s="409"/>
      <c r="E452" s="401"/>
      <c r="F452" s="411"/>
      <c r="G452" s="402">
        <f t="shared" si="38"/>
        <v>0</v>
      </c>
    </row>
    <row r="453" spans="1:7" s="160" customFormat="1" ht="119.25" x14ac:dyDescent="0.35">
      <c r="A453" s="398"/>
      <c r="B453" s="399"/>
      <c r="C453" s="400" t="s">
        <v>897</v>
      </c>
      <c r="D453" s="409">
        <v>36</v>
      </c>
      <c r="E453" s="401" t="s">
        <v>26</v>
      </c>
      <c r="F453" s="411"/>
      <c r="G453" s="402">
        <f t="shared" si="38"/>
        <v>0</v>
      </c>
    </row>
    <row r="454" spans="1:7" s="160" customFormat="1" x14ac:dyDescent="0.35">
      <c r="A454" s="398"/>
      <c r="B454" s="399"/>
      <c r="C454" s="400"/>
      <c r="D454" s="409"/>
      <c r="E454" s="401"/>
      <c r="F454" s="411"/>
      <c r="G454" s="402">
        <f t="shared" si="38"/>
        <v>0</v>
      </c>
    </row>
    <row r="455" spans="1:7" s="160" customFormat="1" ht="96" x14ac:dyDescent="0.35">
      <c r="A455" s="398"/>
      <c r="B455" s="399"/>
      <c r="C455" s="400" t="s">
        <v>838</v>
      </c>
      <c r="D455" s="409">
        <v>56</v>
      </c>
      <c r="E455" s="401" t="s">
        <v>26</v>
      </c>
      <c r="F455" s="411"/>
      <c r="G455" s="402">
        <f t="shared" si="38"/>
        <v>0</v>
      </c>
    </row>
    <row r="456" spans="1:7" s="160" customFormat="1" x14ac:dyDescent="0.35">
      <c r="A456" s="398"/>
      <c r="B456" s="399"/>
      <c r="C456" s="400"/>
      <c r="D456" s="409"/>
      <c r="E456" s="401"/>
      <c r="F456" s="411"/>
      <c r="G456" s="402">
        <f t="shared" si="38"/>
        <v>0</v>
      </c>
    </row>
    <row r="457" spans="1:7" s="160" customFormat="1" ht="142.5" x14ac:dyDescent="0.35">
      <c r="A457" s="398"/>
      <c r="B457" s="399"/>
      <c r="C457" s="400" t="s">
        <v>898</v>
      </c>
      <c r="D457" s="409">
        <v>72</v>
      </c>
      <c r="E457" s="401" t="s">
        <v>26</v>
      </c>
      <c r="F457" s="411"/>
      <c r="G457" s="402">
        <f t="shared" si="38"/>
        <v>0</v>
      </c>
    </row>
    <row r="458" spans="1:7" s="160" customFormat="1" x14ac:dyDescent="0.35">
      <c r="A458" s="398"/>
      <c r="B458" s="399"/>
      <c r="C458" s="400"/>
      <c r="D458" s="409"/>
      <c r="E458" s="401"/>
      <c r="F458" s="411"/>
      <c r="G458" s="402"/>
    </row>
    <row r="459" spans="1:7" s="160" customFormat="1" x14ac:dyDescent="0.35">
      <c r="A459" s="398"/>
      <c r="B459" s="399"/>
      <c r="C459" s="400"/>
      <c r="D459" s="409"/>
      <c r="E459" s="401"/>
      <c r="F459" s="411"/>
      <c r="G459" s="402"/>
    </row>
    <row r="460" spans="1:7" s="160" customFormat="1" ht="24" thickBot="1" x14ac:dyDescent="0.4">
      <c r="A460" s="398"/>
      <c r="B460" s="399"/>
      <c r="C460" s="400"/>
      <c r="D460" s="409"/>
      <c r="E460" s="401"/>
      <c r="F460" s="411"/>
      <c r="G460" s="402">
        <f t="shared" si="38"/>
        <v>0</v>
      </c>
    </row>
    <row r="461" spans="1:7" s="160" customFormat="1" ht="24" thickBot="1" x14ac:dyDescent="0.4">
      <c r="A461" s="398"/>
      <c r="B461" s="399"/>
      <c r="C461" s="404" t="s">
        <v>760</v>
      </c>
      <c r="D461" s="409"/>
      <c r="E461" s="401"/>
      <c r="F461" s="411"/>
      <c r="G461" s="405">
        <f>SUM(G443:G460)</f>
        <v>0</v>
      </c>
    </row>
    <row r="462" spans="1:7" ht="18.75" customHeight="1" x14ac:dyDescent="0.35">
      <c r="A462" s="383"/>
      <c r="B462" s="384"/>
      <c r="C462" s="385"/>
      <c r="D462" s="386"/>
      <c r="E462" s="387"/>
      <c r="F462" s="410"/>
      <c r="G462" s="387"/>
    </row>
    <row r="463" spans="1:7" s="160" customFormat="1" x14ac:dyDescent="0.35">
      <c r="A463" s="388"/>
      <c r="B463" s="389"/>
      <c r="C463" s="390"/>
      <c r="D463" s="391"/>
      <c r="E463" s="391"/>
      <c r="F463" s="393" t="s">
        <v>2</v>
      </c>
      <c r="G463" s="393"/>
    </row>
    <row r="464" spans="1:7" s="160" customFormat="1" ht="24" thickBot="1" x14ac:dyDescent="0.4">
      <c r="A464" s="394"/>
      <c r="B464" s="395"/>
      <c r="C464" s="396" t="s">
        <v>753</v>
      </c>
      <c r="D464" s="397" t="s">
        <v>3</v>
      </c>
      <c r="E464" s="397" t="s">
        <v>1</v>
      </c>
      <c r="F464" s="397" t="s">
        <v>4</v>
      </c>
      <c r="G464" s="397" t="s">
        <v>5</v>
      </c>
    </row>
    <row r="465" spans="1:7" s="160" customFormat="1" ht="18" customHeight="1" x14ac:dyDescent="0.35">
      <c r="A465" s="398"/>
      <c r="B465" s="399"/>
      <c r="C465" s="400"/>
      <c r="D465" s="409"/>
      <c r="E465" s="401"/>
      <c r="F465" s="411"/>
      <c r="G465" s="402">
        <f t="shared" ref="G465:G466" si="39">ROUND(D465*F465,2)</f>
        <v>0</v>
      </c>
    </row>
    <row r="466" spans="1:7" s="160" customFormat="1" x14ac:dyDescent="0.35">
      <c r="A466" s="398"/>
      <c r="B466" s="399"/>
      <c r="C466" s="412" t="s">
        <v>798</v>
      </c>
      <c r="D466" s="409"/>
      <c r="E466" s="401"/>
      <c r="F466" s="411"/>
      <c r="G466" s="402">
        <f t="shared" si="39"/>
        <v>0</v>
      </c>
    </row>
    <row r="467" spans="1:7" s="160" customFormat="1" x14ac:dyDescent="0.35">
      <c r="A467" s="398"/>
      <c r="B467" s="399"/>
      <c r="C467" s="400"/>
      <c r="D467" s="409"/>
      <c r="E467" s="401"/>
      <c r="F467" s="411"/>
      <c r="G467" s="402">
        <f t="shared" ref="G467:G475" si="40">D467*F467</f>
        <v>0</v>
      </c>
    </row>
    <row r="468" spans="1:7" s="160" customFormat="1" ht="139.5" x14ac:dyDescent="0.35">
      <c r="A468" s="398"/>
      <c r="B468" s="399"/>
      <c r="C468" s="400" t="s">
        <v>844</v>
      </c>
      <c r="D468" s="409">
        <v>72</v>
      </c>
      <c r="E468" s="401" t="s">
        <v>26</v>
      </c>
      <c r="F468" s="411"/>
      <c r="G468" s="402">
        <f t="shared" si="40"/>
        <v>0</v>
      </c>
    </row>
    <row r="469" spans="1:7" s="160" customFormat="1" x14ac:dyDescent="0.35">
      <c r="A469" s="398"/>
      <c r="B469" s="399"/>
      <c r="C469" s="400"/>
      <c r="D469" s="409"/>
      <c r="E469" s="401"/>
      <c r="F469" s="411"/>
      <c r="G469" s="402">
        <f t="shared" si="40"/>
        <v>0</v>
      </c>
    </row>
    <row r="470" spans="1:7" s="160" customFormat="1" ht="116.25" x14ac:dyDescent="0.35">
      <c r="A470" s="398"/>
      <c r="B470" s="399"/>
      <c r="C470" s="400" t="s">
        <v>845</v>
      </c>
      <c r="D470" s="409">
        <v>6</v>
      </c>
      <c r="E470" s="401" t="s">
        <v>761</v>
      </c>
      <c r="F470" s="411"/>
      <c r="G470" s="402">
        <f t="shared" si="40"/>
        <v>0</v>
      </c>
    </row>
    <row r="471" spans="1:7" s="160" customFormat="1" x14ac:dyDescent="0.35">
      <c r="A471" s="398"/>
      <c r="B471" s="399"/>
      <c r="C471" s="400"/>
      <c r="D471" s="409"/>
      <c r="E471" s="401"/>
      <c r="F471" s="411"/>
      <c r="G471" s="402">
        <f t="shared" si="40"/>
        <v>0</v>
      </c>
    </row>
    <row r="472" spans="1:7" s="160" customFormat="1" x14ac:dyDescent="0.35">
      <c r="A472" s="398"/>
      <c r="B472" s="399"/>
      <c r="C472" s="400"/>
      <c r="D472" s="409"/>
      <c r="E472" s="401"/>
      <c r="F472" s="411"/>
      <c r="G472" s="402">
        <f t="shared" si="40"/>
        <v>0</v>
      </c>
    </row>
    <row r="473" spans="1:7" s="160" customFormat="1" x14ac:dyDescent="0.35">
      <c r="A473" s="398"/>
      <c r="B473" s="399"/>
      <c r="C473" s="400"/>
      <c r="D473" s="409"/>
      <c r="E473" s="401"/>
      <c r="F473" s="411"/>
      <c r="G473" s="402">
        <f t="shared" si="40"/>
        <v>0</v>
      </c>
    </row>
    <row r="474" spans="1:7" s="160" customFormat="1" x14ac:dyDescent="0.35">
      <c r="A474" s="398"/>
      <c r="B474" s="399"/>
      <c r="C474" s="400"/>
      <c r="D474" s="409"/>
      <c r="E474" s="401"/>
      <c r="F474" s="411"/>
      <c r="G474" s="402">
        <f t="shared" si="40"/>
        <v>0</v>
      </c>
    </row>
    <row r="475" spans="1:7" s="160" customFormat="1" x14ac:dyDescent="0.35">
      <c r="A475" s="398"/>
      <c r="B475" s="399"/>
      <c r="C475" s="400"/>
      <c r="D475" s="409"/>
      <c r="E475" s="401"/>
      <c r="F475" s="411"/>
      <c r="G475" s="402">
        <f t="shared" si="40"/>
        <v>0</v>
      </c>
    </row>
    <row r="476" spans="1:7" s="160" customFormat="1" x14ac:dyDescent="0.35">
      <c r="A476" s="398"/>
      <c r="B476" s="399"/>
      <c r="C476" s="400"/>
      <c r="D476" s="409"/>
      <c r="E476" s="401"/>
      <c r="F476" s="411"/>
      <c r="G476" s="402">
        <f t="shared" ref="G476:G501" si="41">ROUND(D476*F476,2)</f>
        <v>0</v>
      </c>
    </row>
    <row r="477" spans="1:7" s="160" customFormat="1" x14ac:dyDescent="0.35">
      <c r="A477" s="398"/>
      <c r="B477" s="399"/>
      <c r="C477" s="400"/>
      <c r="D477" s="409"/>
      <c r="E477" s="401"/>
      <c r="F477" s="411"/>
      <c r="G477" s="402">
        <f t="shared" si="41"/>
        <v>0</v>
      </c>
    </row>
    <row r="478" spans="1:7" s="160" customFormat="1" x14ac:dyDescent="0.35">
      <c r="A478" s="398"/>
      <c r="B478" s="399"/>
      <c r="C478" s="400"/>
      <c r="D478" s="409"/>
      <c r="E478" s="401"/>
      <c r="F478" s="411"/>
      <c r="G478" s="402">
        <f t="shared" si="41"/>
        <v>0</v>
      </c>
    </row>
    <row r="479" spans="1:7" s="160" customFormat="1" x14ac:dyDescent="0.35">
      <c r="A479" s="398"/>
      <c r="B479" s="399"/>
      <c r="C479" s="400"/>
      <c r="D479" s="409"/>
      <c r="E479" s="401"/>
      <c r="F479" s="411"/>
      <c r="G479" s="402">
        <f t="shared" si="41"/>
        <v>0</v>
      </c>
    </row>
    <row r="480" spans="1:7" s="160" customFormat="1" x14ac:dyDescent="0.35">
      <c r="A480" s="398"/>
      <c r="B480" s="399"/>
      <c r="C480" s="400"/>
      <c r="D480" s="409"/>
      <c r="E480" s="401"/>
      <c r="F480" s="411"/>
      <c r="G480" s="402">
        <f t="shared" si="41"/>
        <v>0</v>
      </c>
    </row>
    <row r="481" spans="1:7" s="160" customFormat="1" x14ac:dyDescent="0.35">
      <c r="A481" s="398"/>
      <c r="B481" s="399"/>
      <c r="C481" s="400"/>
      <c r="D481" s="409"/>
      <c r="E481" s="401"/>
      <c r="F481" s="411"/>
      <c r="G481" s="402">
        <f t="shared" si="41"/>
        <v>0</v>
      </c>
    </row>
    <row r="482" spans="1:7" s="160" customFormat="1" x14ac:dyDescent="0.35">
      <c r="A482" s="398"/>
      <c r="B482" s="399"/>
      <c r="C482" s="400"/>
      <c r="D482" s="409"/>
      <c r="E482" s="401"/>
      <c r="F482" s="411"/>
      <c r="G482" s="402">
        <f t="shared" si="41"/>
        <v>0</v>
      </c>
    </row>
    <row r="483" spans="1:7" s="160" customFormat="1" x14ac:dyDescent="0.35">
      <c r="A483" s="398"/>
      <c r="B483" s="399"/>
      <c r="C483" s="400"/>
      <c r="D483" s="409"/>
      <c r="E483" s="401"/>
      <c r="F483" s="411"/>
      <c r="G483" s="402">
        <f t="shared" si="41"/>
        <v>0</v>
      </c>
    </row>
    <row r="484" spans="1:7" s="160" customFormat="1" x14ac:dyDescent="0.35">
      <c r="A484" s="398"/>
      <c r="B484" s="399"/>
      <c r="C484" s="400"/>
      <c r="D484" s="409"/>
      <c r="E484" s="401"/>
      <c r="F484" s="411"/>
      <c r="G484" s="402">
        <f t="shared" si="41"/>
        <v>0</v>
      </c>
    </row>
    <row r="485" spans="1:7" s="160" customFormat="1" x14ac:dyDescent="0.35">
      <c r="A485" s="398"/>
      <c r="B485" s="399"/>
      <c r="C485" s="400"/>
      <c r="D485" s="409"/>
      <c r="E485" s="401"/>
      <c r="F485" s="411"/>
      <c r="G485" s="402">
        <f t="shared" si="41"/>
        <v>0</v>
      </c>
    </row>
    <row r="486" spans="1:7" s="160" customFormat="1" x14ac:dyDescent="0.35">
      <c r="A486" s="398"/>
      <c r="B486" s="399"/>
      <c r="C486" s="400"/>
      <c r="D486" s="409"/>
      <c r="E486" s="401"/>
      <c r="F486" s="411"/>
      <c r="G486" s="402">
        <f t="shared" si="41"/>
        <v>0</v>
      </c>
    </row>
    <row r="487" spans="1:7" s="160" customFormat="1" x14ac:dyDescent="0.35">
      <c r="A487" s="398"/>
      <c r="B487" s="399"/>
      <c r="C487" s="400"/>
      <c r="D487" s="409"/>
      <c r="E487" s="401"/>
      <c r="F487" s="411"/>
      <c r="G487" s="402">
        <f t="shared" si="41"/>
        <v>0</v>
      </c>
    </row>
    <row r="488" spans="1:7" s="160" customFormat="1" x14ac:dyDescent="0.35">
      <c r="A488" s="398"/>
      <c r="B488" s="399"/>
      <c r="C488" s="400"/>
      <c r="D488" s="409"/>
      <c r="E488" s="401"/>
      <c r="F488" s="411"/>
      <c r="G488" s="402">
        <f t="shared" si="41"/>
        <v>0</v>
      </c>
    </row>
    <row r="489" spans="1:7" s="160" customFormat="1" x14ac:dyDescent="0.35">
      <c r="A489" s="398"/>
      <c r="B489" s="399"/>
      <c r="C489" s="400"/>
      <c r="D489" s="409"/>
      <c r="E489" s="401"/>
      <c r="F489" s="411"/>
      <c r="G489" s="402">
        <f t="shared" si="41"/>
        <v>0</v>
      </c>
    </row>
    <row r="490" spans="1:7" s="160" customFormat="1" x14ac:dyDescent="0.35">
      <c r="A490" s="398"/>
      <c r="B490" s="399"/>
      <c r="C490" s="400"/>
      <c r="D490" s="409"/>
      <c r="E490" s="401"/>
      <c r="F490" s="411"/>
      <c r="G490" s="402">
        <f t="shared" si="41"/>
        <v>0</v>
      </c>
    </row>
    <row r="491" spans="1:7" s="160" customFormat="1" x14ac:dyDescent="0.35">
      <c r="A491" s="398"/>
      <c r="B491" s="399"/>
      <c r="C491" s="400"/>
      <c r="D491" s="409"/>
      <c r="E491" s="401"/>
      <c r="F491" s="411"/>
      <c r="G491" s="402">
        <f t="shared" si="41"/>
        <v>0</v>
      </c>
    </row>
    <row r="492" spans="1:7" s="160" customFormat="1" x14ac:dyDescent="0.35">
      <c r="A492" s="398"/>
      <c r="B492" s="399"/>
      <c r="C492" s="400"/>
      <c r="D492" s="409"/>
      <c r="E492" s="401"/>
      <c r="F492" s="411"/>
      <c r="G492" s="402">
        <f t="shared" si="41"/>
        <v>0</v>
      </c>
    </row>
    <row r="493" spans="1:7" s="160" customFormat="1" ht="24" thickBot="1" x14ac:dyDescent="0.4">
      <c r="A493" s="398"/>
      <c r="B493" s="399"/>
      <c r="C493" s="400"/>
      <c r="D493" s="409"/>
      <c r="E493" s="401"/>
      <c r="F493" s="411"/>
      <c r="G493" s="402">
        <f t="shared" si="41"/>
        <v>0</v>
      </c>
    </row>
    <row r="494" spans="1:7" s="160" customFormat="1" ht="24" thickBot="1" x14ac:dyDescent="0.4">
      <c r="A494" s="398"/>
      <c r="B494" s="399"/>
      <c r="C494" s="404" t="s">
        <v>760</v>
      </c>
      <c r="D494" s="409"/>
      <c r="E494" s="401"/>
      <c r="F494" s="411"/>
      <c r="G494" s="405">
        <f>SUM(G467:G493)</f>
        <v>0</v>
      </c>
    </row>
    <row r="495" spans="1:7" s="160" customFormat="1" x14ac:dyDescent="0.35">
      <c r="A495" s="398"/>
      <c r="B495" s="399"/>
      <c r="C495" s="400"/>
      <c r="D495" s="409"/>
      <c r="E495" s="401"/>
      <c r="F495" s="411"/>
      <c r="G495" s="402">
        <f t="shared" si="41"/>
        <v>0</v>
      </c>
    </row>
    <row r="496" spans="1:7" s="160" customFormat="1" x14ac:dyDescent="0.35">
      <c r="A496" s="398"/>
      <c r="B496" s="399"/>
      <c r="C496" s="400"/>
      <c r="D496" s="409"/>
      <c r="E496" s="401"/>
      <c r="F496" s="411"/>
      <c r="G496" s="402">
        <f t="shared" si="41"/>
        <v>0</v>
      </c>
    </row>
    <row r="497" spans="1:7" s="160" customFormat="1" x14ac:dyDescent="0.35">
      <c r="A497" s="398"/>
      <c r="B497" s="399"/>
      <c r="C497" s="400"/>
      <c r="D497" s="409"/>
      <c r="E497" s="401"/>
      <c r="F497" s="411"/>
      <c r="G497" s="402">
        <f t="shared" si="41"/>
        <v>0</v>
      </c>
    </row>
    <row r="498" spans="1:7" s="160" customFormat="1" x14ac:dyDescent="0.35">
      <c r="A498" s="398"/>
      <c r="B498" s="399"/>
      <c r="C498" s="400"/>
      <c r="D498" s="409"/>
      <c r="E498" s="401"/>
      <c r="F498" s="411"/>
      <c r="G498" s="402">
        <f t="shared" si="41"/>
        <v>0</v>
      </c>
    </row>
    <row r="499" spans="1:7" s="160" customFormat="1" x14ac:dyDescent="0.35">
      <c r="A499" s="398"/>
      <c r="B499" s="399"/>
      <c r="C499" s="400"/>
      <c r="D499" s="409"/>
      <c r="E499" s="401"/>
      <c r="F499" s="411"/>
      <c r="G499" s="402">
        <f t="shared" si="41"/>
        <v>0</v>
      </c>
    </row>
    <row r="500" spans="1:7" s="160" customFormat="1" x14ac:dyDescent="0.35">
      <c r="A500" s="398"/>
      <c r="B500" s="399"/>
      <c r="C500" s="400"/>
      <c r="D500" s="409"/>
      <c r="E500" s="401"/>
      <c r="F500" s="411"/>
      <c r="G500" s="402">
        <f t="shared" si="41"/>
        <v>0</v>
      </c>
    </row>
    <row r="501" spans="1:7" s="160" customFormat="1" ht="24" thickBot="1" x14ac:dyDescent="0.4">
      <c r="A501" s="398"/>
      <c r="B501" s="399"/>
      <c r="C501" s="400"/>
      <c r="D501" s="409"/>
      <c r="E501" s="401"/>
      <c r="F501" s="411"/>
      <c r="G501" s="402">
        <f t="shared" si="41"/>
        <v>0</v>
      </c>
    </row>
    <row r="502" spans="1:7" ht="18.75" customHeight="1" x14ac:dyDescent="0.35">
      <c r="A502" s="383"/>
      <c r="B502" s="384"/>
      <c r="C502" s="385"/>
      <c r="D502" s="386"/>
      <c r="E502" s="387"/>
      <c r="F502" s="410"/>
      <c r="G502" s="387"/>
    </row>
    <row r="503" spans="1:7" s="160" customFormat="1" x14ac:dyDescent="0.35">
      <c r="A503" s="388"/>
      <c r="B503" s="389"/>
      <c r="C503" s="390"/>
      <c r="D503" s="391"/>
      <c r="E503" s="391"/>
      <c r="F503" s="393" t="s">
        <v>2</v>
      </c>
      <c r="G503" s="393"/>
    </row>
    <row r="504" spans="1:7" s="160" customFormat="1" ht="24" thickBot="1" x14ac:dyDescent="0.4">
      <c r="A504" s="394"/>
      <c r="B504" s="395"/>
      <c r="C504" s="396" t="s">
        <v>753</v>
      </c>
      <c r="D504" s="397" t="s">
        <v>3</v>
      </c>
      <c r="E504" s="397" t="s">
        <v>1</v>
      </c>
      <c r="F504" s="397" t="s">
        <v>4</v>
      </c>
      <c r="G504" s="397" t="s">
        <v>5</v>
      </c>
    </row>
    <row r="505" spans="1:7" s="160" customFormat="1" ht="18" customHeight="1" x14ac:dyDescent="0.35">
      <c r="A505" s="398"/>
      <c r="B505" s="399"/>
      <c r="C505" s="400"/>
      <c r="D505" s="409"/>
      <c r="E505" s="401"/>
      <c r="F505" s="411"/>
      <c r="G505" s="402">
        <f t="shared" ref="G505:G506" si="42">ROUND(D505*F505,2)</f>
        <v>0</v>
      </c>
    </row>
    <row r="506" spans="1:7" s="160" customFormat="1" x14ac:dyDescent="0.35">
      <c r="A506" s="398"/>
      <c r="B506" s="399"/>
      <c r="C506" s="412" t="s">
        <v>843</v>
      </c>
      <c r="D506" s="409"/>
      <c r="E506" s="401"/>
      <c r="F506" s="411"/>
      <c r="G506" s="402">
        <f t="shared" si="42"/>
        <v>0</v>
      </c>
    </row>
    <row r="507" spans="1:7" s="160" customFormat="1" x14ac:dyDescent="0.35">
      <c r="A507" s="398"/>
      <c r="B507" s="399"/>
      <c r="C507" s="400"/>
      <c r="D507" s="409"/>
      <c r="E507" s="401"/>
      <c r="F507" s="411"/>
      <c r="G507" s="402">
        <f t="shared" ref="G507:G526" si="43">D507*F507</f>
        <v>0</v>
      </c>
    </row>
    <row r="508" spans="1:7" s="160" customFormat="1" ht="93" x14ac:dyDescent="0.35">
      <c r="A508" s="398"/>
      <c r="B508" s="399"/>
      <c r="C508" s="400" t="s">
        <v>850</v>
      </c>
      <c r="D508" s="409">
        <v>72</v>
      </c>
      <c r="E508" s="401" t="s">
        <v>468</v>
      </c>
      <c r="F508" s="411"/>
      <c r="G508" s="402">
        <f t="shared" si="43"/>
        <v>0</v>
      </c>
    </row>
    <row r="509" spans="1:7" s="160" customFormat="1" x14ac:dyDescent="0.35">
      <c r="A509" s="398"/>
      <c r="B509" s="399"/>
      <c r="C509" s="400"/>
      <c r="D509" s="409"/>
      <c r="E509" s="401"/>
      <c r="F509" s="411"/>
      <c r="G509" s="402">
        <f t="shared" si="43"/>
        <v>0</v>
      </c>
    </row>
    <row r="510" spans="1:7" s="160" customFormat="1" ht="93" x14ac:dyDescent="0.35">
      <c r="A510" s="398"/>
      <c r="B510" s="399"/>
      <c r="C510" s="400" t="s">
        <v>852</v>
      </c>
      <c r="D510" s="409">
        <v>62</v>
      </c>
      <c r="E510" s="401" t="s">
        <v>468</v>
      </c>
      <c r="F510" s="411"/>
      <c r="G510" s="402">
        <f t="shared" si="43"/>
        <v>0</v>
      </c>
    </row>
    <row r="511" spans="1:7" s="160" customFormat="1" x14ac:dyDescent="0.35">
      <c r="A511" s="398"/>
      <c r="B511" s="399"/>
      <c r="C511" s="400"/>
      <c r="D511" s="409"/>
      <c r="E511" s="401"/>
      <c r="F511" s="411"/>
      <c r="G511" s="402">
        <f t="shared" si="43"/>
        <v>0</v>
      </c>
    </row>
    <row r="512" spans="1:7" s="160" customFormat="1" ht="93" x14ac:dyDescent="0.35">
      <c r="A512" s="398"/>
      <c r="B512" s="399"/>
      <c r="C512" s="400" t="s">
        <v>851</v>
      </c>
      <c r="D512" s="409">
        <v>74</v>
      </c>
      <c r="E512" s="401" t="s">
        <v>468</v>
      </c>
      <c r="F512" s="411"/>
      <c r="G512" s="402">
        <f t="shared" si="43"/>
        <v>0</v>
      </c>
    </row>
    <row r="513" spans="1:7" s="160" customFormat="1" x14ac:dyDescent="0.35">
      <c r="A513" s="398"/>
      <c r="B513" s="399"/>
      <c r="C513" s="400"/>
      <c r="D513" s="409"/>
      <c r="E513" s="401"/>
      <c r="F513" s="411"/>
      <c r="G513" s="402">
        <f t="shared" si="43"/>
        <v>0</v>
      </c>
    </row>
    <row r="514" spans="1:7" s="160" customFormat="1" ht="46.5" x14ac:dyDescent="0.35">
      <c r="A514" s="398"/>
      <c r="B514" s="399"/>
      <c r="C514" s="400" t="s">
        <v>849</v>
      </c>
      <c r="D514" s="409">
        <v>6</v>
      </c>
      <c r="E514" s="401" t="s">
        <v>810</v>
      </c>
      <c r="F514" s="411"/>
      <c r="G514" s="402">
        <f t="shared" si="43"/>
        <v>0</v>
      </c>
    </row>
    <row r="515" spans="1:7" s="160" customFormat="1" x14ac:dyDescent="0.35">
      <c r="A515" s="398"/>
      <c r="B515" s="399"/>
      <c r="C515" s="400"/>
      <c r="D515" s="409"/>
      <c r="E515" s="401"/>
      <c r="F515" s="411"/>
      <c r="G515" s="402">
        <f t="shared" si="43"/>
        <v>0</v>
      </c>
    </row>
    <row r="516" spans="1:7" s="160" customFormat="1" ht="69.75" x14ac:dyDescent="0.35">
      <c r="A516" s="398"/>
      <c r="B516" s="399"/>
      <c r="C516" s="400" t="s">
        <v>853</v>
      </c>
      <c r="D516" s="409">
        <v>1060</v>
      </c>
      <c r="E516" s="401" t="s">
        <v>772</v>
      </c>
      <c r="F516" s="411"/>
      <c r="G516" s="402">
        <f t="shared" si="43"/>
        <v>0</v>
      </c>
    </row>
    <row r="517" spans="1:7" s="160" customFormat="1" x14ac:dyDescent="0.35">
      <c r="A517" s="398"/>
      <c r="B517" s="399"/>
      <c r="C517" s="400"/>
      <c r="D517" s="409"/>
      <c r="E517" s="401"/>
      <c r="F517" s="411"/>
      <c r="G517" s="402">
        <f t="shared" si="43"/>
        <v>0</v>
      </c>
    </row>
    <row r="518" spans="1:7" s="160" customFormat="1" ht="69.75" x14ac:dyDescent="0.35">
      <c r="A518" s="398"/>
      <c r="B518" s="399"/>
      <c r="C518" s="400" t="s">
        <v>854</v>
      </c>
      <c r="D518" s="409">
        <v>282</v>
      </c>
      <c r="E518" s="401" t="s">
        <v>772</v>
      </c>
      <c r="F518" s="411"/>
      <c r="G518" s="402">
        <f t="shared" si="43"/>
        <v>0</v>
      </c>
    </row>
    <row r="519" spans="1:7" s="160" customFormat="1" x14ac:dyDescent="0.35">
      <c r="A519" s="398"/>
      <c r="B519" s="399"/>
      <c r="C519" s="400"/>
      <c r="D519" s="409"/>
      <c r="E519" s="401"/>
      <c r="F519" s="411"/>
      <c r="G519" s="402">
        <f t="shared" si="43"/>
        <v>0</v>
      </c>
    </row>
    <row r="520" spans="1:7" s="160" customFormat="1" ht="69.75" x14ac:dyDescent="0.35">
      <c r="A520" s="398"/>
      <c r="B520" s="399"/>
      <c r="C520" s="400" t="s">
        <v>855</v>
      </c>
      <c r="D520" s="409">
        <v>54</v>
      </c>
      <c r="E520" s="401" t="s">
        <v>772</v>
      </c>
      <c r="F520" s="411"/>
      <c r="G520" s="402">
        <f t="shared" si="43"/>
        <v>0</v>
      </c>
    </row>
    <row r="521" spans="1:7" s="160" customFormat="1" x14ac:dyDescent="0.35">
      <c r="A521" s="398"/>
      <c r="B521" s="399"/>
      <c r="C521" s="400"/>
      <c r="D521" s="409"/>
      <c r="E521" s="401"/>
      <c r="F521" s="411"/>
      <c r="G521" s="402">
        <f t="shared" si="43"/>
        <v>0</v>
      </c>
    </row>
    <row r="522" spans="1:7" s="160" customFormat="1" ht="69.75" x14ac:dyDescent="0.35">
      <c r="A522" s="398"/>
      <c r="B522" s="399"/>
      <c r="C522" s="400" t="s">
        <v>856</v>
      </c>
      <c r="D522" s="409">
        <v>176</v>
      </c>
      <c r="E522" s="401" t="s">
        <v>772</v>
      </c>
      <c r="F522" s="411"/>
      <c r="G522" s="402">
        <f>D522*F522</f>
        <v>0</v>
      </c>
    </row>
    <row r="523" spans="1:7" s="160" customFormat="1" x14ac:dyDescent="0.35">
      <c r="A523" s="398"/>
      <c r="B523" s="399"/>
      <c r="C523" s="400"/>
      <c r="D523" s="409"/>
      <c r="E523" s="401"/>
      <c r="F523" s="411"/>
      <c r="G523" s="402">
        <f t="shared" si="43"/>
        <v>0</v>
      </c>
    </row>
    <row r="524" spans="1:7" s="160" customFormat="1" ht="93" x14ac:dyDescent="0.35">
      <c r="A524" s="398"/>
      <c r="B524" s="399"/>
      <c r="C524" s="400" t="s">
        <v>857</v>
      </c>
      <c r="D524" s="409">
        <v>164</v>
      </c>
      <c r="E524" s="401" t="s">
        <v>26</v>
      </c>
      <c r="F524" s="411"/>
      <c r="G524" s="402">
        <f t="shared" si="43"/>
        <v>0</v>
      </c>
    </row>
    <row r="525" spans="1:7" s="160" customFormat="1" x14ac:dyDescent="0.35">
      <c r="A525" s="398"/>
      <c r="B525" s="399"/>
      <c r="C525" s="400"/>
      <c r="D525" s="409"/>
      <c r="E525" s="401"/>
      <c r="F525" s="411"/>
      <c r="G525" s="402">
        <f t="shared" si="43"/>
        <v>0</v>
      </c>
    </row>
    <row r="526" spans="1:7" s="160" customFormat="1" ht="93" x14ac:dyDescent="0.35">
      <c r="A526" s="398"/>
      <c r="B526" s="399"/>
      <c r="C526" s="400" t="s">
        <v>860</v>
      </c>
      <c r="D526" s="409">
        <v>76</v>
      </c>
      <c r="E526" s="401" t="s">
        <v>772</v>
      </c>
      <c r="F526" s="411"/>
      <c r="G526" s="402">
        <f t="shared" si="43"/>
        <v>0</v>
      </c>
    </row>
    <row r="527" spans="1:7" s="160" customFormat="1" ht="24" thickBot="1" x14ac:dyDescent="0.4">
      <c r="A527" s="398"/>
      <c r="B527" s="399"/>
      <c r="C527" s="400"/>
      <c r="D527" s="409"/>
      <c r="E527" s="401"/>
      <c r="F527" s="411"/>
      <c r="G527" s="402">
        <f t="shared" ref="G527:G529" si="44">ROUND(D527*F527,2)</f>
        <v>0</v>
      </c>
    </row>
    <row r="528" spans="1:7" s="160" customFormat="1" ht="24" thickBot="1" x14ac:dyDescent="0.4">
      <c r="A528" s="398"/>
      <c r="B528" s="399"/>
      <c r="C528" s="404" t="s">
        <v>760</v>
      </c>
      <c r="D528" s="409"/>
      <c r="E528" s="401"/>
      <c r="F528" s="411"/>
      <c r="G528" s="405">
        <f>SUM(G507:G527)</f>
        <v>0</v>
      </c>
    </row>
    <row r="529" spans="1:7" s="160" customFormat="1" ht="24" thickBot="1" x14ac:dyDescent="0.4">
      <c r="A529" s="398"/>
      <c r="B529" s="399"/>
      <c r="C529" s="400"/>
      <c r="D529" s="409"/>
      <c r="E529" s="401"/>
      <c r="F529" s="411"/>
      <c r="G529" s="402">
        <f t="shared" si="44"/>
        <v>0</v>
      </c>
    </row>
    <row r="530" spans="1:7" ht="18.75" customHeight="1" x14ac:dyDescent="0.35">
      <c r="A530" s="383"/>
      <c r="B530" s="384"/>
      <c r="C530" s="385"/>
      <c r="D530" s="386"/>
      <c r="E530" s="387"/>
      <c r="F530" s="410"/>
      <c r="G530" s="387"/>
    </row>
    <row r="531" spans="1:7" s="160" customFormat="1" x14ac:dyDescent="0.35">
      <c r="A531" s="388"/>
      <c r="B531" s="389"/>
      <c r="C531" s="390"/>
      <c r="D531" s="391"/>
      <c r="E531" s="391"/>
      <c r="F531" s="393" t="s">
        <v>2</v>
      </c>
      <c r="G531" s="393"/>
    </row>
    <row r="532" spans="1:7" s="160" customFormat="1" ht="24" thickBot="1" x14ac:dyDescent="0.4">
      <c r="A532" s="394"/>
      <c r="B532" s="395"/>
      <c r="C532" s="396" t="s">
        <v>753</v>
      </c>
      <c r="D532" s="397" t="s">
        <v>3</v>
      </c>
      <c r="E532" s="397" t="s">
        <v>1</v>
      </c>
      <c r="F532" s="397" t="s">
        <v>4</v>
      </c>
      <c r="G532" s="397" t="s">
        <v>5</v>
      </c>
    </row>
    <row r="533" spans="1:7" s="160" customFormat="1" ht="18" customHeight="1" x14ac:dyDescent="0.35">
      <c r="A533" s="398"/>
      <c r="B533" s="399"/>
      <c r="C533" s="400"/>
      <c r="D533" s="409"/>
      <c r="E533" s="401"/>
      <c r="F533" s="411"/>
      <c r="G533" s="402">
        <f t="shared" ref="G533:G577" si="45">ROUND(D533*F533,2)</f>
        <v>0</v>
      </c>
    </row>
    <row r="534" spans="1:7" s="160" customFormat="1" ht="46.5" x14ac:dyDescent="0.35">
      <c r="A534" s="398"/>
      <c r="B534" s="399"/>
      <c r="C534" s="412" t="s">
        <v>858</v>
      </c>
      <c r="D534" s="409"/>
      <c r="E534" s="401"/>
      <c r="F534" s="411"/>
      <c r="G534" s="402">
        <f t="shared" si="45"/>
        <v>0</v>
      </c>
    </row>
    <row r="535" spans="1:7" s="160" customFormat="1" x14ac:dyDescent="0.35">
      <c r="A535" s="398"/>
      <c r="B535" s="399"/>
      <c r="C535" s="400"/>
      <c r="D535" s="409"/>
      <c r="E535" s="401"/>
      <c r="F535" s="411"/>
      <c r="G535" s="402">
        <f t="shared" ref="G535:G560" si="46">D535*F535</f>
        <v>0</v>
      </c>
    </row>
    <row r="536" spans="1:7" s="160" customFormat="1" ht="139.5" x14ac:dyDescent="0.35">
      <c r="A536" s="398"/>
      <c r="B536" s="399"/>
      <c r="C536" s="400" t="s">
        <v>859</v>
      </c>
      <c r="D536" s="409">
        <v>278</v>
      </c>
      <c r="E536" s="401" t="s">
        <v>468</v>
      </c>
      <c r="F536" s="411"/>
      <c r="G536" s="402">
        <f t="shared" si="46"/>
        <v>0</v>
      </c>
    </row>
    <row r="537" spans="1:7" s="160" customFormat="1" x14ac:dyDescent="0.35">
      <c r="A537" s="398"/>
      <c r="B537" s="399"/>
      <c r="C537" s="400"/>
      <c r="D537" s="409"/>
      <c r="E537" s="401"/>
      <c r="F537" s="411"/>
      <c r="G537" s="402">
        <f t="shared" si="46"/>
        <v>0</v>
      </c>
    </row>
    <row r="538" spans="1:7" s="160" customFormat="1" ht="46.5" x14ac:dyDescent="0.35">
      <c r="A538" s="398"/>
      <c r="B538" s="399"/>
      <c r="C538" s="400" t="s">
        <v>861</v>
      </c>
      <c r="D538" s="409">
        <v>12</v>
      </c>
      <c r="E538" s="401" t="s">
        <v>761</v>
      </c>
      <c r="F538" s="411"/>
      <c r="G538" s="402">
        <f t="shared" si="46"/>
        <v>0</v>
      </c>
    </row>
    <row r="539" spans="1:7" s="160" customFormat="1" x14ac:dyDescent="0.35">
      <c r="A539" s="398"/>
      <c r="B539" s="399"/>
      <c r="C539" s="400"/>
      <c r="D539" s="409"/>
      <c r="E539" s="401"/>
      <c r="F539" s="411"/>
      <c r="G539" s="402">
        <f t="shared" si="46"/>
        <v>0</v>
      </c>
    </row>
    <row r="540" spans="1:7" s="160" customFormat="1" ht="69.75" x14ac:dyDescent="0.35">
      <c r="A540" s="398"/>
      <c r="B540" s="399"/>
      <c r="C540" s="400" t="s">
        <v>862</v>
      </c>
      <c r="D540" s="409">
        <v>184</v>
      </c>
      <c r="E540" s="401" t="s">
        <v>772</v>
      </c>
      <c r="F540" s="411"/>
      <c r="G540" s="402">
        <f t="shared" si="46"/>
        <v>0</v>
      </c>
    </row>
    <row r="541" spans="1:7" s="160" customFormat="1" x14ac:dyDescent="0.35">
      <c r="A541" s="398"/>
      <c r="B541" s="399"/>
      <c r="C541" s="400"/>
      <c r="D541" s="409"/>
      <c r="E541" s="401"/>
      <c r="F541" s="411"/>
      <c r="G541" s="402">
        <f t="shared" si="46"/>
        <v>0</v>
      </c>
    </row>
    <row r="542" spans="1:7" s="160" customFormat="1" ht="116.25" x14ac:dyDescent="0.35">
      <c r="A542" s="398"/>
      <c r="B542" s="399"/>
      <c r="C542" s="400" t="s">
        <v>903</v>
      </c>
      <c r="D542" s="409">
        <v>600</v>
      </c>
      <c r="E542" s="401" t="s">
        <v>772</v>
      </c>
      <c r="F542" s="411"/>
      <c r="G542" s="402">
        <f t="shared" si="46"/>
        <v>0</v>
      </c>
    </row>
    <row r="543" spans="1:7" s="160" customFormat="1" x14ac:dyDescent="0.35">
      <c r="A543" s="398"/>
      <c r="B543" s="399"/>
      <c r="C543" s="400"/>
      <c r="D543" s="409"/>
      <c r="E543" s="401"/>
      <c r="F543" s="411"/>
      <c r="G543" s="402">
        <f t="shared" si="46"/>
        <v>0</v>
      </c>
    </row>
    <row r="544" spans="1:7" s="160" customFormat="1" x14ac:dyDescent="0.35">
      <c r="A544" s="398"/>
      <c r="B544" s="399"/>
      <c r="C544" s="400"/>
      <c r="D544" s="409"/>
      <c r="E544" s="401"/>
      <c r="F544" s="411"/>
      <c r="G544" s="402">
        <f t="shared" si="46"/>
        <v>0</v>
      </c>
    </row>
    <row r="545" spans="1:7" s="160" customFormat="1" x14ac:dyDescent="0.35">
      <c r="A545" s="398"/>
      <c r="B545" s="399"/>
      <c r="C545" s="400" t="s">
        <v>830</v>
      </c>
      <c r="D545" s="409">
        <v>1</v>
      </c>
      <c r="E545" s="401" t="s">
        <v>819</v>
      </c>
      <c r="F545" s="411"/>
      <c r="G545" s="402">
        <f t="shared" si="46"/>
        <v>0</v>
      </c>
    </row>
    <row r="546" spans="1:7" s="160" customFormat="1" x14ac:dyDescent="0.35">
      <c r="A546" s="398"/>
      <c r="B546" s="399"/>
      <c r="C546" s="400"/>
      <c r="D546" s="409"/>
      <c r="E546" s="401"/>
      <c r="F546" s="411"/>
      <c r="G546" s="402">
        <f t="shared" si="46"/>
        <v>0</v>
      </c>
    </row>
    <row r="547" spans="1:7" s="160" customFormat="1" x14ac:dyDescent="0.35">
      <c r="A547" s="398"/>
      <c r="B547" s="399"/>
      <c r="C547" s="400"/>
      <c r="D547" s="409"/>
      <c r="E547" s="401"/>
      <c r="F547" s="411"/>
      <c r="G547" s="402">
        <f t="shared" si="46"/>
        <v>0</v>
      </c>
    </row>
    <row r="548" spans="1:7" s="160" customFormat="1" x14ac:dyDescent="0.35">
      <c r="A548" s="398"/>
      <c r="B548" s="399"/>
      <c r="C548" s="400"/>
      <c r="D548" s="409"/>
      <c r="E548" s="401"/>
      <c r="F548" s="411"/>
      <c r="G548" s="402">
        <f t="shared" si="46"/>
        <v>0</v>
      </c>
    </row>
    <row r="549" spans="1:7" s="160" customFormat="1" x14ac:dyDescent="0.35">
      <c r="A549" s="398"/>
      <c r="B549" s="399"/>
      <c r="C549" s="400"/>
      <c r="D549" s="409"/>
      <c r="E549" s="401"/>
      <c r="F549" s="411"/>
      <c r="G549" s="402">
        <f t="shared" si="46"/>
        <v>0</v>
      </c>
    </row>
    <row r="550" spans="1:7" s="160" customFormat="1" x14ac:dyDescent="0.35">
      <c r="A550" s="398"/>
      <c r="B550" s="399"/>
      <c r="C550" s="400"/>
      <c r="D550" s="409"/>
      <c r="E550" s="401"/>
      <c r="F550" s="411"/>
      <c r="G550" s="402">
        <f t="shared" si="46"/>
        <v>0</v>
      </c>
    </row>
    <row r="551" spans="1:7" s="160" customFormat="1" x14ac:dyDescent="0.35">
      <c r="A551" s="398"/>
      <c r="B551" s="399"/>
      <c r="C551" s="400"/>
      <c r="D551" s="409"/>
      <c r="E551" s="401"/>
      <c r="F551" s="411"/>
      <c r="G551" s="402">
        <f t="shared" si="46"/>
        <v>0</v>
      </c>
    </row>
    <row r="552" spans="1:7" s="160" customFormat="1" x14ac:dyDescent="0.35">
      <c r="A552" s="398"/>
      <c r="B552" s="399"/>
      <c r="C552" s="400"/>
      <c r="D552" s="409"/>
      <c r="E552" s="401"/>
      <c r="F552" s="411"/>
      <c r="G552" s="402">
        <f t="shared" si="46"/>
        <v>0</v>
      </c>
    </row>
    <row r="553" spans="1:7" s="160" customFormat="1" x14ac:dyDescent="0.35">
      <c r="A553" s="398"/>
      <c r="B553" s="399"/>
      <c r="C553" s="400"/>
      <c r="D553" s="409"/>
      <c r="E553" s="401"/>
      <c r="F553" s="411"/>
      <c r="G553" s="402">
        <f t="shared" si="46"/>
        <v>0</v>
      </c>
    </row>
    <row r="554" spans="1:7" s="160" customFormat="1" x14ac:dyDescent="0.35">
      <c r="A554" s="398"/>
      <c r="B554" s="399"/>
      <c r="C554" s="400"/>
      <c r="D554" s="409"/>
      <c r="E554" s="401"/>
      <c r="F554" s="411"/>
      <c r="G554" s="402">
        <f t="shared" si="46"/>
        <v>0</v>
      </c>
    </row>
    <row r="555" spans="1:7" s="160" customFormat="1" x14ac:dyDescent="0.35">
      <c r="A555" s="398"/>
      <c r="B555" s="399"/>
      <c r="C555" s="400"/>
      <c r="D555" s="409"/>
      <c r="E555" s="401"/>
      <c r="F555" s="411"/>
      <c r="G555" s="402">
        <f t="shared" si="46"/>
        <v>0</v>
      </c>
    </row>
    <row r="556" spans="1:7" s="160" customFormat="1" x14ac:dyDescent="0.35">
      <c r="A556" s="398"/>
      <c r="B556" s="399"/>
      <c r="C556" s="400"/>
      <c r="D556" s="409"/>
      <c r="E556" s="401"/>
      <c r="F556" s="411"/>
      <c r="G556" s="402">
        <f t="shared" si="46"/>
        <v>0</v>
      </c>
    </row>
    <row r="557" spans="1:7" s="160" customFormat="1" ht="24" thickBot="1" x14ac:dyDescent="0.4">
      <c r="A557" s="398"/>
      <c r="B557" s="399"/>
      <c r="C557" s="400"/>
      <c r="D557" s="409"/>
      <c r="E557" s="401"/>
      <c r="F557" s="411"/>
      <c r="G557" s="402">
        <f t="shared" si="46"/>
        <v>0</v>
      </c>
    </row>
    <row r="558" spans="1:7" s="160" customFormat="1" ht="24" thickBot="1" x14ac:dyDescent="0.4">
      <c r="A558" s="398"/>
      <c r="B558" s="399"/>
      <c r="C558" s="404" t="s">
        <v>760</v>
      </c>
      <c r="D558" s="409"/>
      <c r="E558" s="401"/>
      <c r="F558" s="411"/>
      <c r="G558" s="405">
        <f>SUM(G535:G557)</f>
        <v>0</v>
      </c>
    </row>
    <row r="559" spans="1:7" s="160" customFormat="1" x14ac:dyDescent="0.35">
      <c r="A559" s="398"/>
      <c r="B559" s="399"/>
      <c r="C559" s="400"/>
      <c r="D559" s="409"/>
      <c r="E559" s="401"/>
      <c r="F559" s="411"/>
      <c r="G559" s="402">
        <f t="shared" si="46"/>
        <v>0</v>
      </c>
    </row>
    <row r="560" spans="1:7" s="160" customFormat="1" x14ac:dyDescent="0.35">
      <c r="A560" s="398"/>
      <c r="B560" s="399"/>
      <c r="C560" s="400"/>
      <c r="D560" s="409"/>
      <c r="E560" s="401"/>
      <c r="F560" s="411"/>
      <c r="G560" s="402">
        <f t="shared" si="46"/>
        <v>0</v>
      </c>
    </row>
    <row r="561" spans="1:7" s="160" customFormat="1" x14ac:dyDescent="0.35">
      <c r="A561" s="398"/>
      <c r="B561" s="399"/>
      <c r="C561" s="400"/>
      <c r="D561" s="409"/>
      <c r="E561" s="401"/>
      <c r="F561" s="411"/>
      <c r="G561" s="402">
        <f t="shared" si="45"/>
        <v>0</v>
      </c>
    </row>
    <row r="562" spans="1:7" s="160" customFormat="1" x14ac:dyDescent="0.35">
      <c r="A562" s="398"/>
      <c r="B562" s="399"/>
      <c r="C562" s="400"/>
      <c r="D562" s="409"/>
      <c r="E562" s="401"/>
      <c r="F562" s="411"/>
      <c r="G562" s="402">
        <f t="shared" si="45"/>
        <v>0</v>
      </c>
    </row>
    <row r="563" spans="1:7" s="160" customFormat="1" x14ac:dyDescent="0.35">
      <c r="A563" s="398"/>
      <c r="B563" s="399"/>
      <c r="C563" s="400"/>
      <c r="D563" s="409"/>
      <c r="E563" s="401"/>
      <c r="F563" s="411"/>
      <c r="G563" s="402">
        <f t="shared" si="45"/>
        <v>0</v>
      </c>
    </row>
    <row r="564" spans="1:7" s="160" customFormat="1" x14ac:dyDescent="0.35">
      <c r="A564" s="398"/>
      <c r="B564" s="399"/>
      <c r="C564" s="400"/>
      <c r="D564" s="409"/>
      <c r="E564" s="401"/>
      <c r="F564" s="411"/>
      <c r="G564" s="402">
        <f t="shared" si="45"/>
        <v>0</v>
      </c>
    </row>
    <row r="565" spans="1:7" s="160" customFormat="1" x14ac:dyDescent="0.35">
      <c r="A565" s="398"/>
      <c r="B565" s="399"/>
      <c r="C565" s="400"/>
      <c r="D565" s="409"/>
      <c r="E565" s="401"/>
      <c r="F565" s="411"/>
      <c r="G565" s="402">
        <f t="shared" si="45"/>
        <v>0</v>
      </c>
    </row>
    <row r="566" spans="1:7" s="160" customFormat="1" x14ac:dyDescent="0.35">
      <c r="A566" s="398"/>
      <c r="B566" s="399"/>
      <c r="C566" s="400"/>
      <c r="D566" s="409"/>
      <c r="E566" s="401"/>
      <c r="F566" s="411"/>
      <c r="G566" s="402">
        <f t="shared" si="45"/>
        <v>0</v>
      </c>
    </row>
    <row r="567" spans="1:7" s="160" customFormat="1" x14ac:dyDescent="0.35">
      <c r="A567" s="398"/>
      <c r="B567" s="399"/>
      <c r="C567" s="400"/>
      <c r="D567" s="409"/>
      <c r="E567" s="401"/>
      <c r="F567" s="411"/>
      <c r="G567" s="402"/>
    </row>
    <row r="568" spans="1:7" s="160" customFormat="1" x14ac:dyDescent="0.35">
      <c r="A568" s="398"/>
      <c r="B568" s="399"/>
      <c r="C568" s="400"/>
      <c r="D568" s="409"/>
      <c r="E568" s="401"/>
      <c r="F568" s="411"/>
      <c r="G568" s="402"/>
    </row>
    <row r="569" spans="1:7" s="160" customFormat="1" x14ac:dyDescent="0.35">
      <c r="A569" s="398"/>
      <c r="B569" s="399"/>
      <c r="C569" s="400"/>
      <c r="D569" s="409"/>
      <c r="E569" s="401"/>
      <c r="F569" s="411"/>
      <c r="G569" s="402"/>
    </row>
    <row r="570" spans="1:7" s="160" customFormat="1" x14ac:dyDescent="0.35">
      <c r="A570" s="398"/>
      <c r="B570" s="399"/>
      <c r="C570" s="400"/>
      <c r="D570" s="409"/>
      <c r="E570" s="401"/>
      <c r="F570" s="411"/>
      <c r="G570" s="402">
        <f t="shared" si="45"/>
        <v>0</v>
      </c>
    </row>
    <row r="571" spans="1:7" s="160" customFormat="1" ht="24" thickBot="1" x14ac:dyDescent="0.4">
      <c r="A571" s="398"/>
      <c r="B571" s="399"/>
      <c r="C571" s="400"/>
      <c r="D571" s="409"/>
      <c r="E571" s="401"/>
      <c r="F571" s="411"/>
      <c r="G571" s="402">
        <f t="shared" si="45"/>
        <v>0</v>
      </c>
    </row>
    <row r="572" spans="1:7" ht="18.75" customHeight="1" x14ac:dyDescent="0.35">
      <c r="A572" s="383"/>
      <c r="B572" s="384"/>
      <c r="C572" s="385"/>
      <c r="D572" s="386"/>
      <c r="E572" s="387"/>
      <c r="F572" s="410"/>
      <c r="G572" s="387"/>
    </row>
    <row r="573" spans="1:7" s="160" customFormat="1" x14ac:dyDescent="0.35">
      <c r="A573" s="388"/>
      <c r="B573" s="389"/>
      <c r="C573" s="390"/>
      <c r="D573" s="391"/>
      <c r="E573" s="391"/>
      <c r="F573" s="393" t="s">
        <v>2</v>
      </c>
      <c r="G573" s="393"/>
    </row>
    <row r="574" spans="1:7" s="160" customFormat="1" ht="24" thickBot="1" x14ac:dyDescent="0.4">
      <c r="A574" s="394"/>
      <c r="B574" s="395"/>
      <c r="C574" s="396" t="s">
        <v>753</v>
      </c>
      <c r="D574" s="397" t="s">
        <v>3</v>
      </c>
      <c r="E574" s="397" t="s">
        <v>1</v>
      </c>
      <c r="F574" s="397" t="s">
        <v>4</v>
      </c>
      <c r="G574" s="397" t="s">
        <v>5</v>
      </c>
    </row>
    <row r="575" spans="1:7" s="160" customFormat="1" ht="18" customHeight="1" x14ac:dyDescent="0.35">
      <c r="A575" s="398"/>
      <c r="B575" s="399"/>
      <c r="C575" s="400"/>
      <c r="D575" s="409"/>
      <c r="E575" s="401"/>
      <c r="F575" s="411"/>
      <c r="G575" s="402">
        <f t="shared" ref="G575:G576" si="47">ROUND(D575*F575,2)</f>
        <v>0</v>
      </c>
    </row>
    <row r="576" spans="1:7" s="160" customFormat="1" x14ac:dyDescent="0.35">
      <c r="A576" s="398"/>
      <c r="B576" s="399"/>
      <c r="C576" s="412" t="s">
        <v>863</v>
      </c>
      <c r="D576" s="409"/>
      <c r="E576" s="401"/>
      <c r="F576" s="411"/>
      <c r="G576" s="402">
        <f t="shared" si="47"/>
        <v>0</v>
      </c>
    </row>
    <row r="577" spans="1:7" s="160" customFormat="1" x14ac:dyDescent="0.35">
      <c r="A577" s="398"/>
      <c r="B577" s="399"/>
      <c r="C577" s="400"/>
      <c r="D577" s="409"/>
      <c r="E577" s="401"/>
      <c r="F577" s="411"/>
      <c r="G577" s="402">
        <f t="shared" si="45"/>
        <v>0</v>
      </c>
    </row>
    <row r="578" spans="1:7" s="160" customFormat="1" ht="46.5" x14ac:dyDescent="0.35">
      <c r="A578" s="398"/>
      <c r="B578" s="399"/>
      <c r="C578" s="400" t="s">
        <v>899</v>
      </c>
      <c r="D578" s="409">
        <v>6</v>
      </c>
      <c r="E578" s="401" t="s">
        <v>761</v>
      </c>
      <c r="F578" s="411"/>
      <c r="G578" s="402">
        <f t="shared" ref="G578:G600" si="48">D578*F578</f>
        <v>0</v>
      </c>
    </row>
    <row r="579" spans="1:7" s="160" customFormat="1" x14ac:dyDescent="0.35">
      <c r="A579" s="398"/>
      <c r="B579" s="399"/>
      <c r="C579" s="400"/>
      <c r="D579" s="409"/>
      <c r="E579" s="401"/>
      <c r="F579" s="411"/>
      <c r="G579" s="402">
        <f t="shared" si="48"/>
        <v>0</v>
      </c>
    </row>
    <row r="580" spans="1:7" s="160" customFormat="1" ht="46.5" x14ac:dyDescent="0.35">
      <c r="A580" s="398"/>
      <c r="B580" s="399"/>
      <c r="C580" s="400" t="s">
        <v>900</v>
      </c>
      <c r="D580" s="409">
        <v>6</v>
      </c>
      <c r="E580" s="401" t="s">
        <v>761</v>
      </c>
      <c r="F580" s="411"/>
      <c r="G580" s="402">
        <f t="shared" si="48"/>
        <v>0</v>
      </c>
    </row>
    <row r="581" spans="1:7" s="160" customFormat="1" x14ac:dyDescent="0.35">
      <c r="A581" s="398"/>
      <c r="B581" s="399"/>
      <c r="C581" s="400"/>
      <c r="D581" s="409"/>
      <c r="E581" s="401"/>
      <c r="F581" s="411"/>
      <c r="G581" s="402">
        <f t="shared" si="48"/>
        <v>0</v>
      </c>
    </row>
    <row r="582" spans="1:7" s="160" customFormat="1" ht="46.5" x14ac:dyDescent="0.35">
      <c r="A582" s="398"/>
      <c r="B582" s="399"/>
      <c r="C582" s="400" t="s">
        <v>865</v>
      </c>
      <c r="D582" s="409">
        <v>6</v>
      </c>
      <c r="E582" s="401" t="s">
        <v>761</v>
      </c>
      <c r="F582" s="411"/>
      <c r="G582" s="402">
        <f t="shared" si="48"/>
        <v>0</v>
      </c>
    </row>
    <row r="583" spans="1:7" s="160" customFormat="1" x14ac:dyDescent="0.35">
      <c r="A583" s="398"/>
      <c r="B583" s="399"/>
      <c r="C583" s="400"/>
      <c r="D583" s="409"/>
      <c r="E583" s="401"/>
      <c r="F583" s="411"/>
      <c r="G583" s="402">
        <f t="shared" si="48"/>
        <v>0</v>
      </c>
    </row>
    <row r="584" spans="1:7" s="160" customFormat="1" ht="46.5" x14ac:dyDescent="0.35">
      <c r="A584" s="398"/>
      <c r="B584" s="399"/>
      <c r="C584" s="400" t="s">
        <v>866</v>
      </c>
      <c r="D584" s="409">
        <v>12</v>
      </c>
      <c r="E584" s="401" t="s">
        <v>761</v>
      </c>
      <c r="F584" s="411"/>
      <c r="G584" s="402">
        <f t="shared" si="48"/>
        <v>0</v>
      </c>
    </row>
    <row r="585" spans="1:7" s="160" customFormat="1" x14ac:dyDescent="0.35">
      <c r="A585" s="398"/>
      <c r="B585" s="399"/>
      <c r="C585" s="400"/>
      <c r="D585" s="409"/>
      <c r="E585" s="401"/>
      <c r="F585" s="411"/>
      <c r="G585" s="402">
        <f t="shared" si="48"/>
        <v>0</v>
      </c>
    </row>
    <row r="586" spans="1:7" s="160" customFormat="1" ht="46.5" x14ac:dyDescent="0.35">
      <c r="A586" s="398"/>
      <c r="B586" s="399"/>
      <c r="C586" s="400" t="s">
        <v>867</v>
      </c>
      <c r="D586" s="409">
        <v>12</v>
      </c>
      <c r="E586" s="401" t="s">
        <v>761</v>
      </c>
      <c r="F586" s="411"/>
      <c r="G586" s="402">
        <f t="shared" si="48"/>
        <v>0</v>
      </c>
    </row>
    <row r="587" spans="1:7" s="160" customFormat="1" x14ac:dyDescent="0.35">
      <c r="A587" s="398"/>
      <c r="B587" s="399"/>
      <c r="C587" s="400"/>
      <c r="D587" s="409"/>
      <c r="E587" s="401"/>
      <c r="F587" s="411"/>
      <c r="G587" s="402">
        <f t="shared" si="48"/>
        <v>0</v>
      </c>
    </row>
    <row r="588" spans="1:7" s="160" customFormat="1" x14ac:dyDescent="0.35">
      <c r="A588" s="398"/>
      <c r="B588" s="399"/>
      <c r="C588" s="400"/>
      <c r="D588" s="409"/>
      <c r="E588" s="401"/>
      <c r="F588" s="411"/>
      <c r="G588" s="402">
        <f t="shared" si="48"/>
        <v>0</v>
      </c>
    </row>
    <row r="589" spans="1:7" s="160" customFormat="1" x14ac:dyDescent="0.35">
      <c r="A589" s="398"/>
      <c r="B589" s="399"/>
      <c r="C589" s="400"/>
      <c r="D589" s="409"/>
      <c r="E589" s="401"/>
      <c r="F589" s="411"/>
      <c r="G589" s="402">
        <f t="shared" si="48"/>
        <v>0</v>
      </c>
    </row>
    <row r="590" spans="1:7" s="160" customFormat="1" x14ac:dyDescent="0.35">
      <c r="A590" s="398"/>
      <c r="B590" s="399"/>
      <c r="C590" s="400"/>
      <c r="D590" s="409"/>
      <c r="E590" s="401"/>
      <c r="F590" s="411"/>
      <c r="G590" s="402">
        <f t="shared" si="48"/>
        <v>0</v>
      </c>
    </row>
    <row r="591" spans="1:7" s="160" customFormat="1" x14ac:dyDescent="0.35">
      <c r="A591" s="398"/>
      <c r="B591" s="399"/>
      <c r="C591" s="400"/>
      <c r="D591" s="409"/>
      <c r="E591" s="401"/>
      <c r="F591" s="411"/>
      <c r="G591" s="402">
        <f t="shared" si="48"/>
        <v>0</v>
      </c>
    </row>
    <row r="592" spans="1:7" s="160" customFormat="1" x14ac:dyDescent="0.35">
      <c r="A592" s="398"/>
      <c r="B592" s="399"/>
      <c r="C592" s="400"/>
      <c r="D592" s="409"/>
      <c r="E592" s="401"/>
      <c r="F592" s="411"/>
      <c r="G592" s="402">
        <f t="shared" si="48"/>
        <v>0</v>
      </c>
    </row>
    <row r="593" spans="1:7" s="160" customFormat="1" x14ac:dyDescent="0.35">
      <c r="A593" s="398"/>
      <c r="B593" s="399"/>
      <c r="C593" s="400" t="s">
        <v>830</v>
      </c>
      <c r="D593" s="409">
        <v>1</v>
      </c>
      <c r="E593" s="401" t="s">
        <v>819</v>
      </c>
      <c r="F593" s="411"/>
      <c r="G593" s="402">
        <f t="shared" si="48"/>
        <v>0</v>
      </c>
    </row>
    <row r="594" spans="1:7" s="160" customFormat="1" x14ac:dyDescent="0.35">
      <c r="A594" s="398"/>
      <c r="B594" s="399"/>
      <c r="C594" s="400"/>
      <c r="D594" s="409"/>
      <c r="E594" s="401"/>
      <c r="F594" s="411"/>
      <c r="G594" s="402">
        <f t="shared" si="48"/>
        <v>0</v>
      </c>
    </row>
    <row r="595" spans="1:7" s="160" customFormat="1" x14ac:dyDescent="0.35">
      <c r="A595" s="398"/>
      <c r="B595" s="399"/>
      <c r="C595" s="400"/>
      <c r="D595" s="409"/>
      <c r="E595" s="401"/>
      <c r="F595" s="411"/>
      <c r="G595" s="402">
        <f t="shared" si="48"/>
        <v>0</v>
      </c>
    </row>
    <row r="596" spans="1:7" s="160" customFormat="1" x14ac:dyDescent="0.35">
      <c r="A596" s="398"/>
      <c r="B596" s="399"/>
      <c r="C596" s="400"/>
      <c r="D596" s="409"/>
      <c r="E596" s="401"/>
      <c r="F596" s="411"/>
      <c r="G596" s="402">
        <f t="shared" si="48"/>
        <v>0</v>
      </c>
    </row>
    <row r="597" spans="1:7" s="160" customFormat="1" x14ac:dyDescent="0.35">
      <c r="A597" s="398"/>
      <c r="B597" s="399"/>
      <c r="C597" s="400"/>
      <c r="D597" s="409"/>
      <c r="E597" s="401"/>
      <c r="F597" s="411"/>
      <c r="G597" s="402">
        <f t="shared" si="48"/>
        <v>0</v>
      </c>
    </row>
    <row r="598" spans="1:7" s="160" customFormat="1" x14ac:dyDescent="0.35">
      <c r="A598" s="398"/>
      <c r="B598" s="399"/>
      <c r="C598" s="400"/>
      <c r="D598" s="409"/>
      <c r="E598" s="401"/>
      <c r="F598" s="411"/>
      <c r="G598" s="402">
        <f t="shared" si="48"/>
        <v>0</v>
      </c>
    </row>
    <row r="599" spans="1:7" s="160" customFormat="1" x14ac:dyDescent="0.35">
      <c r="A599" s="398"/>
      <c r="B599" s="399"/>
      <c r="C599" s="400"/>
      <c r="D599" s="409"/>
      <c r="E599" s="401"/>
      <c r="F599" s="411"/>
      <c r="G599" s="402">
        <f t="shared" si="48"/>
        <v>0</v>
      </c>
    </row>
    <row r="600" spans="1:7" s="160" customFormat="1" ht="24" thickBot="1" x14ac:dyDescent="0.4">
      <c r="A600" s="398"/>
      <c r="B600" s="399"/>
      <c r="C600" s="400"/>
      <c r="D600" s="409"/>
      <c r="E600" s="401"/>
      <c r="F600" s="411"/>
      <c r="G600" s="402">
        <f t="shared" si="48"/>
        <v>0</v>
      </c>
    </row>
    <row r="601" spans="1:7" s="160" customFormat="1" ht="24" thickBot="1" x14ac:dyDescent="0.4">
      <c r="A601" s="398"/>
      <c r="B601" s="399"/>
      <c r="C601" s="404" t="s">
        <v>760</v>
      </c>
      <c r="D601" s="409"/>
      <c r="E601" s="401"/>
      <c r="F601" s="411"/>
      <c r="G601" s="405">
        <f>SUM(G577:G600)</f>
        <v>0</v>
      </c>
    </row>
    <row r="602" spans="1:7" s="160" customFormat="1" x14ac:dyDescent="0.35">
      <c r="A602" s="398"/>
      <c r="B602" s="399"/>
      <c r="C602" s="400"/>
      <c r="D602" s="409"/>
      <c r="E602" s="401"/>
      <c r="F602" s="411"/>
      <c r="G602" s="402">
        <f t="shared" ref="G602:G617" si="49">ROUND(D602*F602,2)</f>
        <v>0</v>
      </c>
    </row>
    <row r="603" spans="1:7" s="160" customFormat="1" x14ac:dyDescent="0.35">
      <c r="A603" s="398"/>
      <c r="B603" s="399"/>
      <c r="C603" s="400"/>
      <c r="D603" s="409"/>
      <c r="E603" s="401"/>
      <c r="F603" s="411"/>
      <c r="G603" s="402">
        <f t="shared" si="49"/>
        <v>0</v>
      </c>
    </row>
    <row r="604" spans="1:7" s="160" customFormat="1" x14ac:dyDescent="0.35">
      <c r="A604" s="398"/>
      <c r="B604" s="399"/>
      <c r="C604" s="400"/>
      <c r="D604" s="409"/>
      <c r="E604" s="401"/>
      <c r="F604" s="411"/>
      <c r="G604" s="402">
        <f t="shared" si="49"/>
        <v>0</v>
      </c>
    </row>
    <row r="605" spans="1:7" s="160" customFormat="1" x14ac:dyDescent="0.35">
      <c r="A605" s="398"/>
      <c r="B605" s="399"/>
      <c r="C605" s="400"/>
      <c r="D605" s="409"/>
      <c r="E605" s="401"/>
      <c r="F605" s="411"/>
      <c r="G605" s="402">
        <f t="shared" si="49"/>
        <v>0</v>
      </c>
    </row>
    <row r="606" spans="1:7" s="160" customFormat="1" x14ac:dyDescent="0.35">
      <c r="A606" s="398"/>
      <c r="B606" s="399"/>
      <c r="C606" s="400"/>
      <c r="D606" s="409"/>
      <c r="E606" s="401"/>
      <c r="F606" s="411"/>
      <c r="G606" s="402">
        <f t="shared" si="49"/>
        <v>0</v>
      </c>
    </row>
    <row r="607" spans="1:7" s="160" customFormat="1" x14ac:dyDescent="0.35">
      <c r="A607" s="398"/>
      <c r="B607" s="399"/>
      <c r="C607" s="400"/>
      <c r="D607" s="409"/>
      <c r="E607" s="401"/>
      <c r="F607" s="411"/>
      <c r="G607" s="402">
        <f t="shared" si="49"/>
        <v>0</v>
      </c>
    </row>
    <row r="608" spans="1:7" s="160" customFormat="1" x14ac:dyDescent="0.35">
      <c r="A608" s="398"/>
      <c r="B608" s="399"/>
      <c r="C608" s="400"/>
      <c r="D608" s="409"/>
      <c r="E608" s="401"/>
      <c r="F608" s="411"/>
      <c r="G608" s="402">
        <f t="shared" si="49"/>
        <v>0</v>
      </c>
    </row>
    <row r="609" spans="1:7" s="160" customFormat="1" x14ac:dyDescent="0.35">
      <c r="A609" s="398"/>
      <c r="B609" s="399"/>
      <c r="C609" s="400"/>
      <c r="D609" s="409"/>
      <c r="E609" s="401"/>
      <c r="F609" s="411"/>
      <c r="G609" s="402">
        <f t="shared" si="49"/>
        <v>0</v>
      </c>
    </row>
    <row r="610" spans="1:7" s="160" customFormat="1" x14ac:dyDescent="0.35">
      <c r="A610" s="398"/>
      <c r="B610" s="399"/>
      <c r="C610" s="400"/>
      <c r="D610" s="409"/>
      <c r="E610" s="401"/>
      <c r="F610" s="411"/>
      <c r="G610" s="402">
        <f t="shared" si="49"/>
        <v>0</v>
      </c>
    </row>
    <row r="611" spans="1:7" s="160" customFormat="1" x14ac:dyDescent="0.35">
      <c r="A611" s="398"/>
      <c r="B611" s="399"/>
      <c r="C611" s="400"/>
      <c r="D611" s="409"/>
      <c r="E611" s="401"/>
      <c r="F611" s="411"/>
      <c r="G611" s="402">
        <f t="shared" si="49"/>
        <v>0</v>
      </c>
    </row>
    <row r="612" spans="1:7" s="160" customFormat="1" x14ac:dyDescent="0.35">
      <c r="A612" s="398"/>
      <c r="B612" s="399"/>
      <c r="C612" s="400"/>
      <c r="D612" s="409"/>
      <c r="E612" s="401"/>
      <c r="F612" s="411"/>
      <c r="G612" s="402">
        <f t="shared" si="49"/>
        <v>0</v>
      </c>
    </row>
    <row r="613" spans="1:7" s="160" customFormat="1" x14ac:dyDescent="0.35">
      <c r="A613" s="398"/>
      <c r="B613" s="399"/>
      <c r="C613" s="400"/>
      <c r="D613" s="409"/>
      <c r="E613" s="401"/>
      <c r="F613" s="411"/>
      <c r="G613" s="402">
        <f t="shared" si="49"/>
        <v>0</v>
      </c>
    </row>
    <row r="614" spans="1:7" s="160" customFormat="1" x14ac:dyDescent="0.35">
      <c r="A614" s="398"/>
      <c r="B614" s="399"/>
      <c r="C614" s="400"/>
      <c r="D614" s="409"/>
      <c r="E614" s="401"/>
      <c r="F614" s="411"/>
      <c r="G614" s="402">
        <f t="shared" si="49"/>
        <v>0</v>
      </c>
    </row>
    <row r="615" spans="1:7" s="160" customFormat="1" x14ac:dyDescent="0.35">
      <c r="A615" s="398"/>
      <c r="B615" s="399"/>
      <c r="C615" s="400"/>
      <c r="D615" s="409"/>
      <c r="E615" s="401"/>
      <c r="F615" s="411"/>
      <c r="G615" s="402">
        <f t="shared" si="49"/>
        <v>0</v>
      </c>
    </row>
    <row r="616" spans="1:7" s="160" customFormat="1" x14ac:dyDescent="0.35">
      <c r="A616" s="398"/>
      <c r="B616" s="399"/>
      <c r="C616" s="400"/>
      <c r="D616" s="409"/>
      <c r="E616" s="401"/>
      <c r="F616" s="411"/>
      <c r="G616" s="402">
        <f t="shared" si="49"/>
        <v>0</v>
      </c>
    </row>
    <row r="617" spans="1:7" s="160" customFormat="1" ht="24" thickBot="1" x14ac:dyDescent="0.4">
      <c r="A617" s="398"/>
      <c r="B617" s="399"/>
      <c r="C617" s="400"/>
      <c r="D617" s="409"/>
      <c r="E617" s="401"/>
      <c r="F617" s="411"/>
      <c r="G617" s="402">
        <f t="shared" si="49"/>
        <v>0</v>
      </c>
    </row>
    <row r="618" spans="1:7" ht="18.75" customHeight="1" x14ac:dyDescent="0.35">
      <c r="A618" s="383"/>
      <c r="B618" s="384"/>
      <c r="C618" s="385"/>
      <c r="D618" s="386"/>
      <c r="E618" s="387"/>
      <c r="F618" s="410"/>
      <c r="G618" s="387"/>
    </row>
    <row r="619" spans="1:7" s="160" customFormat="1" x14ac:dyDescent="0.35">
      <c r="A619" s="388"/>
      <c r="B619" s="389"/>
      <c r="C619" s="390"/>
      <c r="D619" s="391"/>
      <c r="E619" s="391"/>
      <c r="F619" s="393" t="s">
        <v>2</v>
      </c>
      <c r="G619" s="393"/>
    </row>
    <row r="620" spans="1:7" s="160" customFormat="1" ht="24" thickBot="1" x14ac:dyDescent="0.4">
      <c r="A620" s="394"/>
      <c r="B620" s="395"/>
      <c r="C620" s="396" t="s">
        <v>753</v>
      </c>
      <c r="D620" s="397" t="s">
        <v>3</v>
      </c>
      <c r="E620" s="397" t="s">
        <v>1</v>
      </c>
      <c r="F620" s="397" t="s">
        <v>4</v>
      </c>
      <c r="G620" s="397" t="s">
        <v>5</v>
      </c>
    </row>
    <row r="621" spans="1:7" s="160" customFormat="1" ht="18" customHeight="1" x14ac:dyDescent="0.35">
      <c r="A621" s="398"/>
      <c r="B621" s="399"/>
      <c r="C621" s="400"/>
      <c r="D621" s="409"/>
      <c r="E621" s="401"/>
      <c r="F621" s="411"/>
      <c r="G621" s="402">
        <f t="shared" ref="G621:G622" si="50">ROUND(D621*F621,2)</f>
        <v>0</v>
      </c>
    </row>
    <row r="622" spans="1:7" s="160" customFormat="1" x14ac:dyDescent="0.35">
      <c r="A622" s="398"/>
      <c r="B622" s="399"/>
      <c r="C622" s="412" t="s">
        <v>869</v>
      </c>
      <c r="D622" s="409"/>
      <c r="E622" s="401"/>
      <c r="F622" s="411"/>
      <c r="G622" s="402">
        <f t="shared" si="50"/>
        <v>0</v>
      </c>
    </row>
    <row r="623" spans="1:7" s="160" customFormat="1" x14ac:dyDescent="0.35">
      <c r="A623" s="398"/>
      <c r="B623" s="399"/>
      <c r="C623" s="400"/>
      <c r="D623" s="409"/>
      <c r="E623" s="401"/>
      <c r="F623" s="411"/>
      <c r="G623" s="402">
        <f t="shared" ref="G623:G649" si="51">D623*F623</f>
        <v>0</v>
      </c>
    </row>
    <row r="624" spans="1:7" s="160" customFormat="1" ht="46.5" x14ac:dyDescent="0.35">
      <c r="A624" s="398"/>
      <c r="B624" s="399"/>
      <c r="C624" s="400" t="s">
        <v>901</v>
      </c>
      <c r="D624" s="409">
        <v>6</v>
      </c>
      <c r="E624" s="401" t="s">
        <v>761</v>
      </c>
      <c r="F624" s="411"/>
      <c r="G624" s="402">
        <f t="shared" si="51"/>
        <v>0</v>
      </c>
    </row>
    <row r="625" spans="1:7" s="160" customFormat="1" x14ac:dyDescent="0.35">
      <c r="A625" s="398"/>
      <c r="B625" s="399"/>
      <c r="C625" s="400"/>
      <c r="D625" s="409"/>
      <c r="E625" s="401"/>
      <c r="F625" s="411"/>
      <c r="G625" s="402">
        <f t="shared" si="51"/>
        <v>0</v>
      </c>
    </row>
    <row r="626" spans="1:7" s="160" customFormat="1" ht="46.5" x14ac:dyDescent="0.35">
      <c r="A626" s="398"/>
      <c r="B626" s="399"/>
      <c r="C626" s="400" t="s">
        <v>872</v>
      </c>
      <c r="D626" s="409">
        <v>6</v>
      </c>
      <c r="E626" s="401" t="s">
        <v>761</v>
      </c>
      <c r="F626" s="411"/>
      <c r="G626" s="402">
        <f t="shared" si="51"/>
        <v>0</v>
      </c>
    </row>
    <row r="627" spans="1:7" s="160" customFormat="1" x14ac:dyDescent="0.35">
      <c r="A627" s="398"/>
      <c r="B627" s="399"/>
      <c r="C627" s="400"/>
      <c r="D627" s="409"/>
      <c r="E627" s="401"/>
      <c r="F627" s="411"/>
      <c r="G627" s="402">
        <f t="shared" si="51"/>
        <v>0</v>
      </c>
    </row>
    <row r="628" spans="1:7" s="160" customFormat="1" ht="46.5" x14ac:dyDescent="0.35">
      <c r="A628" s="398"/>
      <c r="B628" s="399"/>
      <c r="C628" s="400" t="s">
        <v>873</v>
      </c>
      <c r="D628" s="409">
        <v>6</v>
      </c>
      <c r="E628" s="401" t="s">
        <v>761</v>
      </c>
      <c r="F628" s="411"/>
      <c r="G628" s="402">
        <f t="shared" si="51"/>
        <v>0</v>
      </c>
    </row>
    <row r="629" spans="1:7" s="160" customFormat="1" x14ac:dyDescent="0.35">
      <c r="A629" s="398"/>
      <c r="B629" s="399"/>
      <c r="C629" s="400"/>
      <c r="D629" s="409"/>
      <c r="E629" s="401"/>
      <c r="F629" s="411"/>
      <c r="G629" s="402">
        <f t="shared" si="51"/>
        <v>0</v>
      </c>
    </row>
    <row r="630" spans="1:7" s="160" customFormat="1" ht="93" x14ac:dyDescent="0.35">
      <c r="A630" s="398"/>
      <c r="B630" s="399"/>
      <c r="C630" s="400" t="s">
        <v>876</v>
      </c>
      <c r="D630" s="409">
        <v>6</v>
      </c>
      <c r="E630" s="401" t="s">
        <v>761</v>
      </c>
      <c r="F630" s="411"/>
      <c r="G630" s="402">
        <f t="shared" si="51"/>
        <v>0</v>
      </c>
    </row>
    <row r="631" spans="1:7" s="160" customFormat="1" x14ac:dyDescent="0.35">
      <c r="A631" s="398"/>
      <c r="B631" s="399"/>
      <c r="C631" s="400"/>
      <c r="D631" s="409"/>
      <c r="E631" s="401"/>
      <c r="F631" s="411"/>
      <c r="G631" s="402">
        <f t="shared" si="51"/>
        <v>0</v>
      </c>
    </row>
    <row r="632" spans="1:7" s="160" customFormat="1" ht="46.5" x14ac:dyDescent="0.35">
      <c r="A632" s="398"/>
      <c r="B632" s="399"/>
      <c r="C632" s="400" t="s">
        <v>877</v>
      </c>
      <c r="D632" s="409">
        <v>6</v>
      </c>
      <c r="E632" s="401" t="s">
        <v>761</v>
      </c>
      <c r="F632" s="411"/>
      <c r="G632" s="402">
        <f t="shared" si="51"/>
        <v>0</v>
      </c>
    </row>
    <row r="633" spans="1:7" s="160" customFormat="1" x14ac:dyDescent="0.35">
      <c r="A633" s="398"/>
      <c r="B633" s="399"/>
      <c r="C633" s="400"/>
      <c r="D633" s="409"/>
      <c r="E633" s="401"/>
      <c r="F633" s="411"/>
      <c r="G633" s="402">
        <f t="shared" si="51"/>
        <v>0</v>
      </c>
    </row>
    <row r="634" spans="1:7" s="160" customFormat="1" x14ac:dyDescent="0.35">
      <c r="A634" s="398"/>
      <c r="B634" s="399"/>
      <c r="C634" s="400" t="s">
        <v>878</v>
      </c>
      <c r="D634" s="409">
        <v>6</v>
      </c>
      <c r="E634" s="401" t="s">
        <v>761</v>
      </c>
      <c r="F634" s="411"/>
      <c r="G634" s="402">
        <f t="shared" si="51"/>
        <v>0</v>
      </c>
    </row>
    <row r="635" spans="1:7" s="160" customFormat="1" x14ac:dyDescent="0.35">
      <c r="A635" s="398"/>
      <c r="B635" s="399"/>
      <c r="C635" s="400"/>
      <c r="D635" s="409"/>
      <c r="E635" s="401"/>
      <c r="F635" s="411"/>
      <c r="G635" s="402">
        <f t="shared" si="51"/>
        <v>0</v>
      </c>
    </row>
    <row r="636" spans="1:7" s="160" customFormat="1" ht="46.5" x14ac:dyDescent="0.35">
      <c r="A636" s="398"/>
      <c r="B636" s="399"/>
      <c r="C636" s="400" t="s">
        <v>879</v>
      </c>
      <c r="D636" s="409">
        <v>6</v>
      </c>
      <c r="E636" s="401" t="s">
        <v>761</v>
      </c>
      <c r="F636" s="411"/>
      <c r="G636" s="402">
        <f t="shared" si="51"/>
        <v>0</v>
      </c>
    </row>
    <row r="637" spans="1:7" s="160" customFormat="1" x14ac:dyDescent="0.35">
      <c r="A637" s="398"/>
      <c r="B637" s="399"/>
      <c r="C637" s="400"/>
      <c r="D637" s="409"/>
      <c r="E637" s="401"/>
      <c r="F637" s="411"/>
      <c r="G637" s="402">
        <f t="shared" si="51"/>
        <v>0</v>
      </c>
    </row>
    <row r="638" spans="1:7" s="160" customFormat="1" ht="46.5" x14ac:dyDescent="0.35">
      <c r="A638" s="398"/>
      <c r="B638" s="399"/>
      <c r="C638" s="400" t="s">
        <v>880</v>
      </c>
      <c r="D638" s="409">
        <v>6</v>
      </c>
      <c r="E638" s="401" t="s">
        <v>761</v>
      </c>
      <c r="F638" s="411"/>
      <c r="G638" s="402">
        <f t="shared" si="51"/>
        <v>0</v>
      </c>
    </row>
    <row r="639" spans="1:7" s="160" customFormat="1" x14ac:dyDescent="0.35">
      <c r="A639" s="398"/>
      <c r="B639" s="399"/>
      <c r="C639" s="400"/>
      <c r="D639" s="409"/>
      <c r="E639" s="401"/>
      <c r="F639" s="411"/>
      <c r="G639" s="402">
        <f t="shared" si="51"/>
        <v>0</v>
      </c>
    </row>
    <row r="640" spans="1:7" s="160" customFormat="1" ht="69.75" x14ac:dyDescent="0.35">
      <c r="A640" s="398"/>
      <c r="B640" s="399"/>
      <c r="C640" s="400" t="s">
        <v>881</v>
      </c>
      <c r="D640" s="409">
        <v>24</v>
      </c>
      <c r="E640" s="401" t="s">
        <v>761</v>
      </c>
      <c r="F640" s="411"/>
      <c r="G640" s="402">
        <f t="shared" si="51"/>
        <v>0</v>
      </c>
    </row>
    <row r="641" spans="1:7" s="160" customFormat="1" x14ac:dyDescent="0.35">
      <c r="A641" s="398"/>
      <c r="B641" s="399"/>
      <c r="C641" s="400"/>
      <c r="D641" s="409"/>
      <c r="E641" s="401"/>
      <c r="F641" s="411"/>
      <c r="G641" s="402">
        <f t="shared" si="51"/>
        <v>0</v>
      </c>
    </row>
    <row r="642" spans="1:7" s="160" customFormat="1" x14ac:dyDescent="0.35">
      <c r="A642" s="398"/>
      <c r="B642" s="399"/>
      <c r="C642" s="400"/>
      <c r="D642" s="409"/>
      <c r="E642" s="401"/>
      <c r="F642" s="411"/>
      <c r="G642" s="402">
        <f t="shared" si="51"/>
        <v>0</v>
      </c>
    </row>
    <row r="643" spans="1:7" s="160" customFormat="1" ht="93" x14ac:dyDescent="0.35">
      <c r="A643" s="398"/>
      <c r="B643" s="399"/>
      <c r="C643" s="400" t="s">
        <v>902</v>
      </c>
      <c r="D643" s="409">
        <v>6</v>
      </c>
      <c r="E643" s="401" t="s">
        <v>761</v>
      </c>
      <c r="F643" s="411"/>
      <c r="G643" s="402">
        <f t="shared" si="51"/>
        <v>0</v>
      </c>
    </row>
    <row r="644" spans="1:7" s="160" customFormat="1" x14ac:dyDescent="0.35">
      <c r="A644" s="398"/>
      <c r="B644" s="399"/>
      <c r="C644" s="400"/>
      <c r="D644" s="409"/>
      <c r="E644" s="401"/>
      <c r="F644" s="411"/>
      <c r="G644" s="402">
        <f t="shared" si="51"/>
        <v>0</v>
      </c>
    </row>
    <row r="645" spans="1:7" s="160" customFormat="1" x14ac:dyDescent="0.35">
      <c r="A645" s="398"/>
      <c r="B645" s="399"/>
      <c r="C645" s="400" t="s">
        <v>830</v>
      </c>
      <c r="D645" s="409">
        <v>1</v>
      </c>
      <c r="E645" s="401" t="s">
        <v>819</v>
      </c>
      <c r="F645" s="411"/>
      <c r="G645" s="402">
        <f t="shared" si="51"/>
        <v>0</v>
      </c>
    </row>
    <row r="646" spans="1:7" s="160" customFormat="1" x14ac:dyDescent="0.35">
      <c r="A646" s="398"/>
      <c r="B646" s="399"/>
      <c r="C646" s="400"/>
      <c r="D646" s="409"/>
      <c r="E646" s="401"/>
      <c r="F646" s="411"/>
      <c r="G646" s="402">
        <f t="shared" si="51"/>
        <v>0</v>
      </c>
    </row>
    <row r="647" spans="1:7" s="160" customFormat="1" ht="46.5" x14ac:dyDescent="0.35">
      <c r="A647" s="398"/>
      <c r="B647" s="399"/>
      <c r="C647" s="400" t="s">
        <v>870</v>
      </c>
      <c r="D647" s="409">
        <v>1</v>
      </c>
      <c r="E647" s="401" t="s">
        <v>756</v>
      </c>
      <c r="F647" s="411"/>
      <c r="G647" s="402">
        <f t="shared" si="51"/>
        <v>0</v>
      </c>
    </row>
    <row r="648" spans="1:7" s="160" customFormat="1" x14ac:dyDescent="0.35">
      <c r="A648" s="398"/>
      <c r="B648" s="399"/>
      <c r="C648" s="400"/>
      <c r="D648" s="409"/>
      <c r="E648" s="401"/>
      <c r="F648" s="411"/>
      <c r="G648" s="402">
        <f t="shared" si="51"/>
        <v>0</v>
      </c>
    </row>
    <row r="649" spans="1:7" s="160" customFormat="1" ht="24" thickBot="1" x14ac:dyDescent="0.4">
      <c r="A649" s="398"/>
      <c r="B649" s="399"/>
      <c r="C649" s="400"/>
      <c r="D649" s="409"/>
      <c r="E649" s="401"/>
      <c r="F649" s="411"/>
      <c r="G649" s="402">
        <f t="shared" si="51"/>
        <v>0</v>
      </c>
    </row>
    <row r="650" spans="1:7" s="160" customFormat="1" ht="24" thickBot="1" x14ac:dyDescent="0.4">
      <c r="A650" s="398"/>
      <c r="B650" s="399"/>
      <c r="C650" s="404" t="s">
        <v>760</v>
      </c>
      <c r="D650" s="409"/>
      <c r="E650" s="401"/>
      <c r="F650" s="411"/>
      <c r="G650" s="405">
        <f>SUM(G623:G649)</f>
        <v>0</v>
      </c>
    </row>
    <row r="651" spans="1:7" ht="18.75" customHeight="1" x14ac:dyDescent="0.35">
      <c r="A651" s="383"/>
      <c r="B651" s="384"/>
      <c r="C651" s="385"/>
      <c r="D651" s="386"/>
      <c r="E651" s="387"/>
      <c r="F651" s="410"/>
      <c r="G651" s="387"/>
    </row>
    <row r="652" spans="1:7" s="160" customFormat="1" x14ac:dyDescent="0.35">
      <c r="A652" s="388"/>
      <c r="B652" s="389"/>
      <c r="C652" s="390"/>
      <c r="D652" s="391"/>
      <c r="E652" s="391"/>
      <c r="F652" s="393" t="s">
        <v>2</v>
      </c>
      <c r="G652" s="393"/>
    </row>
    <row r="653" spans="1:7" s="160" customFormat="1" ht="24" thickBot="1" x14ac:dyDescent="0.4">
      <c r="A653" s="394"/>
      <c r="B653" s="395"/>
      <c r="C653" s="396" t="s">
        <v>753</v>
      </c>
      <c r="D653" s="397" t="s">
        <v>3</v>
      </c>
      <c r="E653" s="397" t="s">
        <v>1</v>
      </c>
      <c r="F653" s="397" t="s">
        <v>4</v>
      </c>
      <c r="G653" s="397" t="s">
        <v>5</v>
      </c>
    </row>
    <row r="654" spans="1:7" s="160" customFormat="1" ht="18" customHeight="1" x14ac:dyDescent="0.35">
      <c r="A654" s="398"/>
      <c r="B654" s="399"/>
      <c r="C654" s="400"/>
      <c r="D654" s="409"/>
      <c r="E654" s="401"/>
      <c r="F654" s="411"/>
      <c r="G654" s="402">
        <f t="shared" ref="G654:G655" si="52">ROUND(D654*F654,2)</f>
        <v>0</v>
      </c>
    </row>
    <row r="655" spans="1:7" s="160" customFormat="1" x14ac:dyDescent="0.35">
      <c r="A655" s="398"/>
      <c r="B655" s="399"/>
      <c r="C655" s="412" t="s">
        <v>882</v>
      </c>
      <c r="D655" s="409"/>
      <c r="E655" s="401"/>
      <c r="F655" s="411"/>
      <c r="G655" s="402">
        <f t="shared" si="52"/>
        <v>0</v>
      </c>
    </row>
    <row r="656" spans="1:7" s="160" customFormat="1" x14ac:dyDescent="0.35">
      <c r="A656" s="398"/>
      <c r="B656" s="399"/>
      <c r="C656" s="404"/>
      <c r="D656" s="409"/>
      <c r="E656" s="401"/>
      <c r="F656" s="411"/>
      <c r="G656" s="402"/>
    </row>
    <row r="657" spans="1:7" s="160" customFormat="1" x14ac:dyDescent="0.35">
      <c r="A657" s="398"/>
      <c r="B657" s="399"/>
      <c r="C657" s="404" t="s">
        <v>904</v>
      </c>
      <c r="D657" s="409"/>
      <c r="E657" s="401"/>
      <c r="F657" s="411"/>
      <c r="G657" s="402">
        <f>G25</f>
        <v>0</v>
      </c>
    </row>
    <row r="658" spans="1:7" s="160" customFormat="1" x14ac:dyDescent="0.35">
      <c r="A658" s="398"/>
      <c r="B658" s="399"/>
      <c r="C658" s="404"/>
      <c r="D658" s="409"/>
      <c r="E658" s="401"/>
      <c r="F658" s="411"/>
      <c r="G658" s="402"/>
    </row>
    <row r="659" spans="1:7" s="160" customFormat="1" x14ac:dyDescent="0.35">
      <c r="A659" s="398"/>
      <c r="B659" s="399"/>
      <c r="C659" s="404" t="s">
        <v>905</v>
      </c>
      <c r="D659" s="409"/>
      <c r="E659" s="401"/>
      <c r="F659" s="411"/>
      <c r="G659" s="402">
        <f>G49</f>
        <v>0</v>
      </c>
    </row>
    <row r="660" spans="1:7" s="160" customFormat="1" x14ac:dyDescent="0.35">
      <c r="A660" s="398"/>
      <c r="B660" s="399"/>
      <c r="C660" s="404"/>
      <c r="D660" s="409"/>
      <c r="E660" s="401"/>
      <c r="F660" s="411"/>
      <c r="G660" s="402"/>
    </row>
    <row r="661" spans="1:7" s="160" customFormat="1" x14ac:dyDescent="0.35">
      <c r="A661" s="398"/>
      <c r="B661" s="399"/>
      <c r="C661" s="404" t="s">
        <v>906</v>
      </c>
      <c r="D661" s="409"/>
      <c r="E661" s="401"/>
      <c r="F661" s="411"/>
      <c r="G661" s="402">
        <f>G75</f>
        <v>0</v>
      </c>
    </row>
    <row r="662" spans="1:7" s="160" customFormat="1" x14ac:dyDescent="0.35">
      <c r="A662" s="398"/>
      <c r="B662" s="399"/>
      <c r="C662" s="404"/>
      <c r="D662" s="409"/>
      <c r="E662" s="401"/>
      <c r="F662" s="411"/>
      <c r="G662" s="402"/>
    </row>
    <row r="663" spans="1:7" s="160" customFormat="1" x14ac:dyDescent="0.35">
      <c r="A663" s="398"/>
      <c r="B663" s="399"/>
      <c r="C663" s="404" t="s">
        <v>907</v>
      </c>
      <c r="D663" s="409"/>
      <c r="E663" s="401"/>
      <c r="F663" s="411"/>
      <c r="G663" s="402">
        <f>G100</f>
        <v>0</v>
      </c>
    </row>
    <row r="664" spans="1:7" s="160" customFormat="1" x14ac:dyDescent="0.35">
      <c r="A664" s="398"/>
      <c r="B664" s="399"/>
      <c r="C664" s="404"/>
      <c r="D664" s="409"/>
      <c r="E664" s="401"/>
      <c r="F664" s="411"/>
      <c r="G664" s="402"/>
    </row>
    <row r="665" spans="1:7" s="160" customFormat="1" x14ac:dyDescent="0.35">
      <c r="A665" s="398"/>
      <c r="B665" s="399"/>
      <c r="C665" s="404" t="s">
        <v>908</v>
      </c>
      <c r="D665" s="409"/>
      <c r="E665" s="401"/>
      <c r="F665" s="411"/>
      <c r="G665" s="402">
        <f>G129</f>
        <v>0</v>
      </c>
    </row>
    <row r="666" spans="1:7" s="160" customFormat="1" x14ac:dyDescent="0.35">
      <c r="A666" s="398"/>
      <c r="B666" s="399"/>
      <c r="C666" s="404"/>
      <c r="D666" s="409"/>
      <c r="E666" s="401"/>
      <c r="F666" s="411"/>
      <c r="G666" s="402"/>
    </row>
    <row r="667" spans="1:7" s="160" customFormat="1" x14ac:dyDescent="0.35">
      <c r="A667" s="398"/>
      <c r="B667" s="399"/>
      <c r="C667" s="404" t="s">
        <v>909</v>
      </c>
      <c r="D667" s="409"/>
      <c r="E667" s="401"/>
      <c r="F667" s="411"/>
      <c r="G667" s="402">
        <f>G156</f>
        <v>0</v>
      </c>
    </row>
    <row r="668" spans="1:7" s="160" customFormat="1" x14ac:dyDescent="0.35">
      <c r="A668" s="398"/>
      <c r="B668" s="399"/>
      <c r="C668" s="404"/>
      <c r="D668" s="409"/>
      <c r="E668" s="401"/>
      <c r="F668" s="411"/>
      <c r="G668" s="402"/>
    </row>
    <row r="669" spans="1:7" s="160" customFormat="1" x14ac:dyDescent="0.35">
      <c r="A669" s="398"/>
      <c r="B669" s="399"/>
      <c r="C669" s="404" t="s">
        <v>910</v>
      </c>
      <c r="D669" s="409"/>
      <c r="E669" s="401"/>
      <c r="F669" s="411"/>
      <c r="G669" s="402">
        <f>G177</f>
        <v>0</v>
      </c>
    </row>
    <row r="670" spans="1:7" s="160" customFormat="1" x14ac:dyDescent="0.35">
      <c r="A670" s="398"/>
      <c r="B670" s="399"/>
      <c r="C670" s="404"/>
      <c r="D670" s="409"/>
      <c r="E670" s="401"/>
      <c r="F670" s="411"/>
      <c r="G670" s="402"/>
    </row>
    <row r="671" spans="1:7" s="160" customFormat="1" x14ac:dyDescent="0.35">
      <c r="A671" s="398"/>
      <c r="B671" s="399"/>
      <c r="C671" s="404" t="s">
        <v>911</v>
      </c>
      <c r="D671" s="409"/>
      <c r="E671" s="401"/>
      <c r="F671" s="411"/>
      <c r="G671" s="402">
        <f>G203</f>
        <v>0</v>
      </c>
    </row>
    <row r="672" spans="1:7" s="160" customFormat="1" x14ac:dyDescent="0.35">
      <c r="A672" s="398"/>
      <c r="B672" s="399"/>
      <c r="C672" s="404"/>
      <c r="D672" s="409"/>
      <c r="E672" s="401"/>
      <c r="F672" s="411"/>
      <c r="G672" s="402"/>
    </row>
    <row r="673" spans="1:7" s="160" customFormat="1" x14ac:dyDescent="0.35">
      <c r="A673" s="398"/>
      <c r="B673" s="399"/>
      <c r="C673" s="404" t="s">
        <v>912</v>
      </c>
      <c r="D673" s="409"/>
      <c r="E673" s="401"/>
      <c r="F673" s="411"/>
      <c r="G673" s="402">
        <f>G241</f>
        <v>0</v>
      </c>
    </row>
    <row r="674" spans="1:7" s="160" customFormat="1" x14ac:dyDescent="0.35">
      <c r="A674" s="398"/>
      <c r="B674" s="399"/>
      <c r="C674" s="404"/>
      <c r="D674" s="409"/>
      <c r="E674" s="401"/>
      <c r="F674" s="411"/>
      <c r="G674" s="402"/>
    </row>
    <row r="675" spans="1:7" s="160" customFormat="1" x14ac:dyDescent="0.35">
      <c r="A675" s="398"/>
      <c r="B675" s="399"/>
      <c r="C675" s="404" t="s">
        <v>913</v>
      </c>
      <c r="D675" s="409"/>
      <c r="E675" s="401"/>
      <c r="F675" s="411"/>
      <c r="G675" s="402">
        <f>G274</f>
        <v>0</v>
      </c>
    </row>
    <row r="676" spans="1:7" s="160" customFormat="1" x14ac:dyDescent="0.35">
      <c r="A676" s="398"/>
      <c r="B676" s="399"/>
      <c r="C676" s="404"/>
      <c r="D676" s="409"/>
      <c r="E676" s="401"/>
      <c r="F676" s="411"/>
      <c r="G676" s="402"/>
    </row>
    <row r="677" spans="1:7" s="160" customFormat="1" x14ac:dyDescent="0.35">
      <c r="A677" s="398"/>
      <c r="B677" s="399"/>
      <c r="C677" s="404" t="s">
        <v>914</v>
      </c>
      <c r="D677" s="409"/>
      <c r="E677" s="401"/>
      <c r="F677" s="411"/>
      <c r="G677" s="402">
        <f>G325</f>
        <v>0</v>
      </c>
    </row>
    <row r="678" spans="1:7" s="160" customFormat="1" x14ac:dyDescent="0.35">
      <c r="A678" s="398"/>
      <c r="B678" s="399"/>
      <c r="C678" s="404"/>
      <c r="D678" s="409"/>
      <c r="E678" s="401"/>
      <c r="F678" s="411"/>
      <c r="G678" s="402"/>
    </row>
    <row r="679" spans="1:7" s="160" customFormat="1" x14ac:dyDescent="0.35">
      <c r="A679" s="398"/>
      <c r="B679" s="399"/>
      <c r="C679" s="404" t="s">
        <v>915</v>
      </c>
      <c r="D679" s="409"/>
      <c r="E679" s="401"/>
      <c r="F679" s="411"/>
      <c r="G679" s="402">
        <f>G371</f>
        <v>0</v>
      </c>
    </row>
    <row r="680" spans="1:7" s="160" customFormat="1" x14ac:dyDescent="0.35">
      <c r="A680" s="398"/>
      <c r="B680" s="399"/>
      <c r="C680" s="404"/>
      <c r="D680" s="409"/>
      <c r="E680" s="401"/>
      <c r="F680" s="411"/>
      <c r="G680" s="402"/>
    </row>
    <row r="681" spans="1:7" s="160" customFormat="1" x14ac:dyDescent="0.35">
      <c r="A681" s="398"/>
      <c r="B681" s="399"/>
      <c r="C681" s="404" t="s">
        <v>916</v>
      </c>
      <c r="D681" s="409"/>
      <c r="E681" s="401"/>
      <c r="F681" s="411"/>
      <c r="G681" s="402">
        <f>G408</f>
        <v>0</v>
      </c>
    </row>
    <row r="682" spans="1:7" s="160" customFormat="1" x14ac:dyDescent="0.35">
      <c r="A682" s="398"/>
      <c r="B682" s="399"/>
      <c r="C682" s="404"/>
      <c r="D682" s="409"/>
      <c r="E682" s="401"/>
      <c r="F682" s="411"/>
      <c r="G682" s="402"/>
    </row>
    <row r="683" spans="1:7" s="160" customFormat="1" x14ac:dyDescent="0.35">
      <c r="A683" s="398"/>
      <c r="B683" s="399"/>
      <c r="C683" s="404" t="s">
        <v>917</v>
      </c>
      <c r="D683" s="409"/>
      <c r="E683" s="401"/>
      <c r="F683" s="411"/>
      <c r="G683" s="402">
        <f>G435</f>
        <v>0</v>
      </c>
    </row>
    <row r="684" spans="1:7" s="160" customFormat="1" x14ac:dyDescent="0.35">
      <c r="A684" s="398"/>
      <c r="B684" s="399"/>
      <c r="C684" s="404"/>
      <c r="D684" s="409"/>
      <c r="E684" s="401"/>
      <c r="F684" s="411"/>
      <c r="G684" s="402"/>
    </row>
    <row r="685" spans="1:7" s="160" customFormat="1" x14ac:dyDescent="0.35">
      <c r="A685" s="398"/>
      <c r="B685" s="399"/>
      <c r="C685" s="404" t="s">
        <v>918</v>
      </c>
      <c r="D685" s="409"/>
      <c r="E685" s="401"/>
      <c r="F685" s="411"/>
      <c r="G685" s="402">
        <f>G461</f>
        <v>0</v>
      </c>
    </row>
    <row r="686" spans="1:7" s="160" customFormat="1" x14ac:dyDescent="0.35">
      <c r="A686" s="398"/>
      <c r="B686" s="399"/>
      <c r="C686" s="404"/>
      <c r="D686" s="409"/>
      <c r="E686" s="401"/>
      <c r="F686" s="411"/>
      <c r="G686" s="402"/>
    </row>
    <row r="687" spans="1:7" s="160" customFormat="1" x14ac:dyDescent="0.35">
      <c r="A687" s="398"/>
      <c r="B687" s="399"/>
      <c r="C687" s="404" t="s">
        <v>919</v>
      </c>
      <c r="D687" s="409"/>
      <c r="E687" s="401"/>
      <c r="F687" s="411"/>
      <c r="G687" s="402">
        <f>G494</f>
        <v>0</v>
      </c>
    </row>
    <row r="688" spans="1:7" s="160" customFormat="1" x14ac:dyDescent="0.35">
      <c r="A688" s="398"/>
      <c r="B688" s="399"/>
      <c r="C688" s="404"/>
      <c r="D688" s="409"/>
      <c r="E688" s="401"/>
      <c r="F688" s="411"/>
      <c r="G688" s="402"/>
    </row>
    <row r="689" spans="1:7" s="160" customFormat="1" x14ac:dyDescent="0.35">
      <c r="A689" s="398"/>
      <c r="B689" s="399"/>
      <c r="C689" s="404" t="s">
        <v>920</v>
      </c>
      <c r="D689" s="409"/>
      <c r="E689" s="401"/>
      <c r="F689" s="411"/>
      <c r="G689" s="402">
        <f>G528</f>
        <v>0</v>
      </c>
    </row>
    <row r="690" spans="1:7" s="160" customFormat="1" x14ac:dyDescent="0.35">
      <c r="A690" s="398"/>
      <c r="B690" s="399"/>
      <c r="C690" s="404"/>
      <c r="D690" s="409"/>
      <c r="E690" s="401"/>
      <c r="F690" s="411"/>
      <c r="G690" s="402"/>
    </row>
    <row r="691" spans="1:7" s="160" customFormat="1" x14ac:dyDescent="0.35">
      <c r="A691" s="398"/>
      <c r="B691" s="399"/>
      <c r="C691" s="404" t="s">
        <v>921</v>
      </c>
      <c r="D691" s="409"/>
      <c r="E691" s="401"/>
      <c r="F691" s="411"/>
      <c r="G691" s="402">
        <f>G601</f>
        <v>0</v>
      </c>
    </row>
    <row r="692" spans="1:7" s="160" customFormat="1" x14ac:dyDescent="0.35">
      <c r="A692" s="398"/>
      <c r="B692" s="399"/>
      <c r="C692" s="404"/>
      <c r="D692" s="409"/>
      <c r="E692" s="401"/>
      <c r="F692" s="411"/>
      <c r="G692" s="402"/>
    </row>
    <row r="693" spans="1:7" s="160" customFormat="1" x14ac:dyDescent="0.35">
      <c r="A693" s="398"/>
      <c r="B693" s="399"/>
      <c r="C693" s="404" t="s">
        <v>922</v>
      </c>
      <c r="D693" s="409"/>
      <c r="E693" s="401"/>
      <c r="F693" s="411"/>
      <c r="G693" s="402">
        <f>G650</f>
        <v>0</v>
      </c>
    </row>
    <row r="694" spans="1:7" s="160" customFormat="1" ht="24" thickBot="1" x14ac:dyDescent="0.4">
      <c r="A694" s="398"/>
      <c r="B694" s="399"/>
      <c r="C694" s="404"/>
      <c r="D694" s="409"/>
      <c r="E694" s="401"/>
      <c r="F694" s="411"/>
      <c r="G694" s="402"/>
    </row>
    <row r="695" spans="1:7" s="160" customFormat="1" ht="24" thickBot="1" x14ac:dyDescent="0.4">
      <c r="A695" s="398"/>
      <c r="B695" s="399"/>
      <c r="C695" s="415" t="s">
        <v>923</v>
      </c>
      <c r="D695" s="409"/>
      <c r="E695" s="401"/>
      <c r="F695" s="411"/>
      <c r="G695" s="405">
        <f>SUM(G656:G694)</f>
        <v>0</v>
      </c>
    </row>
    <row r="696" spans="1:7" s="160" customFormat="1" x14ac:dyDescent="0.35">
      <c r="A696" s="398"/>
      <c r="B696" s="399"/>
      <c r="C696" s="404"/>
      <c r="D696" s="409"/>
      <c r="E696" s="401"/>
      <c r="F696" s="411"/>
      <c r="G696" s="402"/>
    </row>
    <row r="697" spans="1:7" s="160" customFormat="1" x14ac:dyDescent="0.35">
      <c r="A697" s="398"/>
      <c r="B697" s="399"/>
      <c r="C697" s="404"/>
      <c r="D697" s="409"/>
      <c r="E697" s="401"/>
      <c r="F697" s="411"/>
      <c r="G697" s="402"/>
    </row>
  </sheetData>
  <pageMargins left="0.70866141732283472" right="0.70866141732283472" top="0.74803149606299213" bottom="0.74803149606299213" header="0.31496062992125984" footer="0.31496062992125984"/>
  <pageSetup paperSize="9" scale="59" orientation="portrait" useFirstPageNumber="1" r:id="rId1"/>
  <headerFooter>
    <oddHeader xml:space="preserve">&amp;L&amp;UΠΑΣΥΔΥ PLATRES APARTMENTS  
ΚΑΤΕΔΑΦΙΣΕΙΣ-ΜΕΤΑΤΡΟΠΕΣ
&amp;R
&amp;"-,Bold"&amp;14BLOCK 1&amp;"-,Regular"&amp;11
</oddHeader>
    <oddFooter>&amp;R2/&amp;P</oddFooter>
  </headerFooter>
  <rowBreaks count="20" manualBreakCount="20">
    <brk id="26" max="6" man="1"/>
    <brk id="50" max="6" man="1"/>
    <brk id="76" max="6" man="1"/>
    <brk id="102" max="6" man="1"/>
    <brk id="130" max="6" man="1"/>
    <brk id="157" max="6" man="1"/>
    <brk id="178" max="6" man="1"/>
    <brk id="204" max="6" man="1"/>
    <brk id="241" max="6" man="1"/>
    <brk id="278" max="6" man="1"/>
    <brk id="329" max="6" man="1"/>
    <brk id="377" max="6" man="1"/>
    <brk id="408" max="6" man="1"/>
    <brk id="438" max="6" man="1"/>
    <brk id="461" max="6" man="1"/>
    <brk id="501" max="6" man="1"/>
    <brk id="529" max="6" man="1"/>
    <brk id="571" max="6" man="1"/>
    <brk id="617" max="6" man="1"/>
    <brk id="65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1583-6074-4954-8B0E-63D578131C83}">
  <sheetPr>
    <tabColor rgb="FFFFFF00"/>
  </sheetPr>
  <dimension ref="A1:G697"/>
  <sheetViews>
    <sheetView showZeros="0" view="pageBreakPreview" zoomScale="50" zoomScaleNormal="100" zoomScaleSheetLayoutView="50" workbookViewId="0">
      <selection activeCell="F339" sqref="F339"/>
    </sheetView>
  </sheetViews>
  <sheetFormatPr defaultColWidth="8.85546875" defaultRowHeight="23.25" x14ac:dyDescent="0.35"/>
  <cols>
    <col min="1" max="1" width="3.42578125" style="406" customWidth="1"/>
    <col min="2" max="2" width="0.85546875" style="407" customWidth="1"/>
    <col min="3" max="3" width="61.5703125" style="408" customWidth="1"/>
    <col min="4" max="4" width="17.140625" style="393" customWidth="1"/>
    <col min="5" max="5" width="14.85546875" style="392" customWidth="1"/>
    <col min="6" max="6" width="20.7109375" style="393" customWidth="1"/>
    <col min="7" max="7" width="19.140625" style="392" customWidth="1"/>
    <col min="8" max="8" width="4" style="158" customWidth="1"/>
    <col min="9" max="16384" width="8.85546875" style="158"/>
  </cols>
  <sheetData>
    <row r="1" spans="1:7" x14ac:dyDescent="0.35">
      <c r="A1" s="383"/>
      <c r="B1" s="384"/>
      <c r="C1" s="385"/>
      <c r="D1" s="386"/>
      <c r="E1" s="387"/>
      <c r="F1" s="410"/>
      <c r="G1" s="387"/>
    </row>
    <row r="2" spans="1:7" s="160" customFormat="1" x14ac:dyDescent="0.35">
      <c r="A2" s="388"/>
      <c r="B2" s="389"/>
      <c r="C2" s="390"/>
      <c r="D2" s="391"/>
      <c r="E2" s="391"/>
      <c r="F2" s="393" t="s">
        <v>2</v>
      </c>
      <c r="G2" s="393"/>
    </row>
    <row r="3" spans="1:7" s="160" customFormat="1" ht="24" thickBot="1" x14ac:dyDescent="0.4">
      <c r="A3" s="394"/>
      <c r="B3" s="395"/>
      <c r="C3" s="396" t="s">
        <v>753</v>
      </c>
      <c r="D3" s="397" t="s">
        <v>3</v>
      </c>
      <c r="E3" s="397" t="s">
        <v>1</v>
      </c>
      <c r="F3" s="397" t="s">
        <v>4</v>
      </c>
      <c r="G3" s="397" t="s">
        <v>5</v>
      </c>
    </row>
    <row r="4" spans="1:7" s="160" customFormat="1" ht="14.25" customHeight="1" x14ac:dyDescent="0.35">
      <c r="A4" s="398"/>
      <c r="B4" s="399"/>
      <c r="C4" s="400"/>
      <c r="D4" s="409"/>
      <c r="E4" s="401"/>
      <c r="F4" s="411"/>
      <c r="G4" s="402">
        <f>ROUND(D4*F4,2)</f>
        <v>0</v>
      </c>
    </row>
    <row r="5" spans="1:7" s="160" customFormat="1" ht="46.5" x14ac:dyDescent="0.35">
      <c r="A5" s="398"/>
      <c r="B5" s="399"/>
      <c r="C5" s="403" t="s">
        <v>783</v>
      </c>
      <c r="D5" s="409"/>
      <c r="E5" s="401"/>
      <c r="F5" s="411"/>
      <c r="G5" s="402">
        <f>ROUND(D5*F5,2)</f>
        <v>0</v>
      </c>
    </row>
    <row r="6" spans="1:7" s="160" customFormat="1" ht="15.75" customHeight="1" x14ac:dyDescent="0.35">
      <c r="A6" s="398"/>
      <c r="B6" s="399"/>
      <c r="C6" s="403"/>
      <c r="D6" s="409"/>
      <c r="E6" s="401"/>
      <c r="F6" s="411"/>
      <c r="G6" s="402"/>
    </row>
    <row r="7" spans="1:7" s="160" customFormat="1" ht="116.25" x14ac:dyDescent="0.35">
      <c r="A7" s="398"/>
      <c r="B7" s="399"/>
      <c r="C7" s="403" t="s">
        <v>785</v>
      </c>
      <c r="D7" s="409"/>
      <c r="E7" s="401"/>
      <c r="F7" s="411"/>
      <c r="G7" s="402"/>
    </row>
    <row r="8" spans="1:7" s="160" customFormat="1" ht="18.75" customHeight="1" x14ac:dyDescent="0.35">
      <c r="A8" s="398"/>
      <c r="B8" s="399"/>
      <c r="C8" s="400"/>
      <c r="D8" s="409"/>
      <c r="E8" s="401"/>
      <c r="F8" s="411"/>
      <c r="G8" s="402">
        <f>ROUND(D8*F8,2)</f>
        <v>0</v>
      </c>
    </row>
    <row r="9" spans="1:7" s="160" customFormat="1" ht="46.5" x14ac:dyDescent="0.35">
      <c r="A9" s="398"/>
      <c r="B9" s="399"/>
      <c r="C9" s="400" t="s">
        <v>767</v>
      </c>
      <c r="D9" s="409">
        <v>1</v>
      </c>
      <c r="E9" s="401" t="s">
        <v>756</v>
      </c>
      <c r="F9" s="411"/>
      <c r="G9" s="402">
        <f>D9*F9</f>
        <v>0</v>
      </c>
    </row>
    <row r="10" spans="1:7" s="160" customFormat="1" ht="18" customHeight="1" x14ac:dyDescent="0.35">
      <c r="A10" s="398"/>
      <c r="B10" s="399"/>
      <c r="C10" s="400"/>
      <c r="D10" s="409"/>
      <c r="E10" s="401"/>
      <c r="F10" s="411"/>
      <c r="G10" s="402">
        <f>ROUND(D10*F10,2)</f>
        <v>0</v>
      </c>
    </row>
    <row r="11" spans="1:7" s="160" customFormat="1" ht="81.75" customHeight="1" x14ac:dyDescent="0.35">
      <c r="A11" s="398"/>
      <c r="B11" s="399"/>
      <c r="C11" s="400" t="s">
        <v>768</v>
      </c>
      <c r="D11" s="409">
        <v>1</v>
      </c>
      <c r="E11" s="401" t="s">
        <v>756</v>
      </c>
      <c r="F11" s="411"/>
      <c r="G11" s="402">
        <f>D11*F11</f>
        <v>0</v>
      </c>
    </row>
    <row r="12" spans="1:7" s="160" customFormat="1" ht="14.25" customHeight="1" x14ac:dyDescent="0.35">
      <c r="A12" s="398"/>
      <c r="B12" s="399"/>
      <c r="C12" s="400"/>
      <c r="D12" s="409"/>
      <c r="E12" s="401"/>
      <c r="F12" s="411"/>
      <c r="G12" s="402">
        <f>ROUND(D12*F12,2)</f>
        <v>0</v>
      </c>
    </row>
    <row r="13" spans="1:7" s="160" customFormat="1" ht="139.5" x14ac:dyDescent="0.35">
      <c r="A13" s="398"/>
      <c r="B13" s="399"/>
      <c r="C13" s="400" t="s">
        <v>763</v>
      </c>
      <c r="D13" s="409">
        <v>72</v>
      </c>
      <c r="E13" s="401" t="s">
        <v>26</v>
      </c>
      <c r="F13" s="411"/>
      <c r="G13" s="402">
        <f>D13*F13</f>
        <v>0</v>
      </c>
    </row>
    <row r="14" spans="1:7" s="160" customFormat="1" ht="18.75" customHeight="1" x14ac:dyDescent="0.35">
      <c r="A14" s="398"/>
      <c r="B14" s="399"/>
      <c r="C14" s="400"/>
      <c r="D14" s="409"/>
      <c r="E14" s="401"/>
      <c r="F14" s="411"/>
      <c r="G14" s="402">
        <f>ROUND(D14*F14,2)</f>
        <v>0</v>
      </c>
    </row>
    <row r="15" spans="1:7" s="160" customFormat="1" ht="123" customHeight="1" x14ac:dyDescent="0.35">
      <c r="A15" s="398"/>
      <c r="B15" s="399"/>
      <c r="C15" s="400" t="s">
        <v>754</v>
      </c>
      <c r="D15" s="409">
        <v>72</v>
      </c>
      <c r="E15" s="401" t="s">
        <v>26</v>
      </c>
      <c r="F15" s="411"/>
      <c r="G15" s="402">
        <f>D15*F15</f>
        <v>0</v>
      </c>
    </row>
    <row r="16" spans="1:7" s="160" customFormat="1" ht="17.25" customHeight="1" x14ac:dyDescent="0.35">
      <c r="A16" s="398"/>
      <c r="B16" s="399"/>
      <c r="C16" s="400"/>
      <c r="D16" s="409"/>
      <c r="E16" s="401"/>
      <c r="F16" s="411"/>
      <c r="G16" s="402">
        <f>ROUND(D16*F16,2)</f>
        <v>0</v>
      </c>
    </row>
    <row r="17" spans="1:7" s="160" customFormat="1" ht="46.5" x14ac:dyDescent="0.35">
      <c r="A17" s="398"/>
      <c r="B17" s="399"/>
      <c r="C17" s="400" t="s">
        <v>755</v>
      </c>
      <c r="D17" s="409">
        <v>12</v>
      </c>
      <c r="E17" s="414" t="s">
        <v>883</v>
      </c>
      <c r="F17" s="411"/>
      <c r="G17" s="402">
        <f>D17*F17</f>
        <v>0</v>
      </c>
    </row>
    <row r="18" spans="1:7" s="160" customFormat="1" ht="17.25" customHeight="1" x14ac:dyDescent="0.35">
      <c r="A18" s="398"/>
      <c r="B18" s="399"/>
      <c r="C18" s="400"/>
      <c r="D18" s="409"/>
      <c r="E18" s="401"/>
      <c r="F18" s="411"/>
      <c r="G18" s="402">
        <f>ROUND(D18*F18,2)</f>
        <v>0</v>
      </c>
    </row>
    <row r="19" spans="1:7" s="160" customFormat="1" ht="46.5" x14ac:dyDescent="0.35">
      <c r="A19" s="398"/>
      <c r="B19" s="399"/>
      <c r="C19" s="400" t="s">
        <v>757</v>
      </c>
      <c r="D19" s="409">
        <v>6</v>
      </c>
      <c r="E19" s="414" t="s">
        <v>884</v>
      </c>
      <c r="F19" s="411"/>
      <c r="G19" s="402">
        <f>D19*F19</f>
        <v>0</v>
      </c>
    </row>
    <row r="20" spans="1:7" s="160" customFormat="1" ht="16.5" customHeight="1" x14ac:dyDescent="0.35">
      <c r="A20" s="398"/>
      <c r="B20" s="399"/>
      <c r="C20" s="400"/>
      <c r="D20" s="409"/>
      <c r="E20" s="401"/>
      <c r="F20" s="411"/>
      <c r="G20" s="402">
        <f>ROUND(D20*F20,2)</f>
        <v>0</v>
      </c>
    </row>
    <row r="21" spans="1:7" s="160" customFormat="1" ht="116.25" x14ac:dyDescent="0.35">
      <c r="A21" s="398"/>
      <c r="B21" s="399"/>
      <c r="C21" s="400" t="s">
        <v>758</v>
      </c>
      <c r="D21" s="409">
        <v>85</v>
      </c>
      <c r="E21" s="401" t="s">
        <v>26</v>
      </c>
      <c r="F21" s="411"/>
      <c r="G21" s="402">
        <f>D21*F21</f>
        <v>0</v>
      </c>
    </row>
    <row r="22" spans="1:7" s="160" customFormat="1" ht="18.75" customHeight="1" x14ac:dyDescent="0.35">
      <c r="A22" s="398"/>
      <c r="B22" s="399"/>
      <c r="C22" s="400"/>
      <c r="D22" s="409"/>
      <c r="E22" s="401"/>
      <c r="F22" s="411"/>
      <c r="G22" s="402">
        <f>ROUND(D22*F22,2)</f>
        <v>0</v>
      </c>
    </row>
    <row r="23" spans="1:7" s="160" customFormat="1" ht="116.25" x14ac:dyDescent="0.35">
      <c r="A23" s="398"/>
      <c r="B23" s="399"/>
      <c r="C23" s="400" t="s">
        <v>759</v>
      </c>
      <c r="D23" s="409">
        <v>48</v>
      </c>
      <c r="E23" s="401" t="s">
        <v>761</v>
      </c>
      <c r="F23" s="411"/>
      <c r="G23" s="402">
        <f>D23*F23</f>
        <v>0</v>
      </c>
    </row>
    <row r="24" spans="1:7" s="160" customFormat="1" ht="24" thickBot="1" x14ac:dyDescent="0.4">
      <c r="A24" s="398"/>
      <c r="B24" s="399"/>
      <c r="C24" s="400"/>
      <c r="D24" s="409"/>
      <c r="E24" s="401"/>
      <c r="F24" s="411"/>
      <c r="G24" s="402">
        <f>ROUND(D24*F24,2)</f>
        <v>0</v>
      </c>
    </row>
    <row r="25" spans="1:7" s="160" customFormat="1" ht="24" thickBot="1" x14ac:dyDescent="0.4">
      <c r="A25" s="398"/>
      <c r="B25" s="399"/>
      <c r="C25" s="404" t="s">
        <v>760</v>
      </c>
      <c r="D25" s="409"/>
      <c r="E25" s="401"/>
      <c r="F25" s="411"/>
      <c r="G25" s="405">
        <f>SUM(G7:G24)</f>
        <v>0</v>
      </c>
    </row>
    <row r="26" spans="1:7" s="160" customFormat="1" ht="24" thickBot="1" x14ac:dyDescent="0.4">
      <c r="A26" s="398"/>
      <c r="B26" s="399"/>
      <c r="C26" s="400"/>
      <c r="D26" s="409"/>
      <c r="E26" s="401"/>
      <c r="F26" s="411"/>
      <c r="G26" s="402">
        <f>ROUND(D26*F26,2)</f>
        <v>0</v>
      </c>
    </row>
    <row r="27" spans="1:7" x14ac:dyDescent="0.35">
      <c r="A27" s="383"/>
      <c r="B27" s="384"/>
      <c r="C27" s="385"/>
      <c r="D27" s="386"/>
      <c r="E27" s="387"/>
      <c r="F27" s="410"/>
      <c r="G27" s="387"/>
    </row>
    <row r="28" spans="1:7" s="160" customFormat="1" x14ac:dyDescent="0.35">
      <c r="A28" s="388"/>
      <c r="B28" s="389"/>
      <c r="C28" s="390"/>
      <c r="D28" s="391"/>
      <c r="E28" s="391"/>
      <c r="F28" s="393" t="s">
        <v>2</v>
      </c>
      <c r="G28" s="393"/>
    </row>
    <row r="29" spans="1:7" s="160" customFormat="1" ht="24" thickBot="1" x14ac:dyDescent="0.4">
      <c r="A29" s="394"/>
      <c r="B29" s="395"/>
      <c r="C29" s="396" t="s">
        <v>753</v>
      </c>
      <c r="D29" s="397" t="s">
        <v>3</v>
      </c>
      <c r="E29" s="397" t="s">
        <v>1</v>
      </c>
      <c r="F29" s="397" t="s">
        <v>4</v>
      </c>
      <c r="G29" s="397" t="s">
        <v>5</v>
      </c>
    </row>
    <row r="30" spans="1:7" s="160" customFormat="1" x14ac:dyDescent="0.35">
      <c r="A30" s="398"/>
      <c r="B30" s="399"/>
      <c r="C30" s="400"/>
      <c r="D30" s="409"/>
      <c r="E30" s="401"/>
      <c r="F30" s="411"/>
      <c r="G30" s="402">
        <f>ROUND(D30*F30,2)</f>
        <v>0</v>
      </c>
    </row>
    <row r="31" spans="1:7" s="160" customFormat="1" ht="46.5" x14ac:dyDescent="0.35">
      <c r="A31" s="398"/>
      <c r="B31" s="399"/>
      <c r="C31" s="403" t="s">
        <v>784</v>
      </c>
      <c r="D31" s="409"/>
      <c r="E31" s="401"/>
      <c r="F31" s="411"/>
      <c r="G31" s="402">
        <f>ROUND(D31*F31,2)</f>
        <v>0</v>
      </c>
    </row>
    <row r="32" spans="1:7" s="160" customFormat="1" x14ac:dyDescent="0.35">
      <c r="A32" s="398"/>
      <c r="B32" s="399"/>
      <c r="C32" s="400"/>
      <c r="D32" s="409"/>
      <c r="E32" s="401"/>
      <c r="F32" s="411"/>
      <c r="G32" s="402">
        <f>ROUND(D32*F32,2)</f>
        <v>0</v>
      </c>
    </row>
    <row r="33" spans="1:7" s="160" customFormat="1" ht="116.25" x14ac:dyDescent="0.35">
      <c r="A33" s="398"/>
      <c r="B33" s="399"/>
      <c r="C33" s="400" t="s">
        <v>769</v>
      </c>
      <c r="D33" s="409">
        <v>42</v>
      </c>
      <c r="E33" s="401" t="s">
        <v>761</v>
      </c>
      <c r="F33" s="411"/>
      <c r="G33" s="402">
        <f>D33*F33</f>
        <v>0</v>
      </c>
    </row>
    <row r="34" spans="1:7" s="160" customFormat="1" x14ac:dyDescent="0.35">
      <c r="A34" s="398"/>
      <c r="B34" s="399"/>
      <c r="C34" s="400"/>
      <c r="D34" s="409"/>
      <c r="E34" s="401"/>
      <c r="F34" s="411"/>
      <c r="G34" s="402">
        <f>ROUND(D34*F34,2)</f>
        <v>0</v>
      </c>
    </row>
    <row r="35" spans="1:7" s="160" customFormat="1" ht="116.25" x14ac:dyDescent="0.35">
      <c r="A35" s="398"/>
      <c r="B35" s="399"/>
      <c r="C35" s="400" t="s">
        <v>762</v>
      </c>
      <c r="D35" s="409">
        <v>42</v>
      </c>
      <c r="E35" s="401" t="s">
        <v>761</v>
      </c>
      <c r="F35" s="411"/>
      <c r="G35" s="402">
        <f>D35*F35</f>
        <v>0</v>
      </c>
    </row>
    <row r="36" spans="1:7" s="160" customFormat="1" x14ac:dyDescent="0.35">
      <c r="A36" s="398"/>
      <c r="B36" s="399"/>
      <c r="C36" s="400"/>
      <c r="D36" s="409"/>
      <c r="E36" s="401"/>
      <c r="F36" s="411"/>
      <c r="G36" s="402">
        <f>ROUND(D36*F36,2)</f>
        <v>0</v>
      </c>
    </row>
    <row r="37" spans="1:7" s="160" customFormat="1" ht="46.5" x14ac:dyDescent="0.35">
      <c r="A37" s="398"/>
      <c r="B37" s="399"/>
      <c r="C37" s="400" t="s">
        <v>764</v>
      </c>
      <c r="D37" s="409">
        <v>12</v>
      </c>
      <c r="E37" s="401" t="s">
        <v>761</v>
      </c>
      <c r="F37" s="411"/>
      <c r="G37" s="402">
        <f>D37*F37</f>
        <v>0</v>
      </c>
    </row>
    <row r="38" spans="1:7" s="160" customFormat="1" x14ac:dyDescent="0.35">
      <c r="A38" s="398"/>
      <c r="B38" s="399"/>
      <c r="C38" s="400"/>
      <c r="D38" s="409"/>
      <c r="E38" s="401"/>
      <c r="F38" s="411"/>
      <c r="G38" s="402">
        <f>ROUND(D38*F38,2)</f>
        <v>0</v>
      </c>
    </row>
    <row r="39" spans="1:7" s="160" customFormat="1" ht="46.5" x14ac:dyDescent="0.35">
      <c r="A39" s="398"/>
      <c r="B39" s="399"/>
      <c r="C39" s="400" t="s">
        <v>765</v>
      </c>
      <c r="D39" s="409">
        <v>12</v>
      </c>
      <c r="E39" s="401" t="s">
        <v>761</v>
      </c>
      <c r="F39" s="411"/>
      <c r="G39" s="402">
        <f>D39*F39</f>
        <v>0</v>
      </c>
    </row>
    <row r="40" spans="1:7" s="160" customFormat="1" x14ac:dyDescent="0.35">
      <c r="A40" s="398"/>
      <c r="B40" s="399"/>
      <c r="C40" s="400"/>
      <c r="D40" s="409"/>
      <c r="E40" s="401"/>
      <c r="F40" s="411"/>
      <c r="G40" s="402">
        <f>ROUND(D40*F40,2)</f>
        <v>0</v>
      </c>
    </row>
    <row r="41" spans="1:7" s="160" customFormat="1" ht="46.5" x14ac:dyDescent="0.35">
      <c r="A41" s="398"/>
      <c r="B41" s="399"/>
      <c r="C41" s="400" t="s">
        <v>770</v>
      </c>
      <c r="D41" s="409">
        <v>6</v>
      </c>
      <c r="E41" s="401" t="s">
        <v>761</v>
      </c>
      <c r="F41" s="411"/>
      <c r="G41" s="402">
        <f>D41*F41</f>
        <v>0</v>
      </c>
    </row>
    <row r="42" spans="1:7" s="160" customFormat="1" x14ac:dyDescent="0.35">
      <c r="A42" s="398"/>
      <c r="B42" s="399"/>
      <c r="C42" s="400"/>
      <c r="D42" s="409"/>
      <c r="E42" s="401"/>
      <c r="F42" s="411"/>
      <c r="G42" s="402">
        <f>ROUND(D42*F42,2)</f>
        <v>0</v>
      </c>
    </row>
    <row r="43" spans="1:7" s="160" customFormat="1" ht="186" x14ac:dyDescent="0.35">
      <c r="A43" s="398"/>
      <c r="B43" s="399"/>
      <c r="C43" s="400" t="s">
        <v>766</v>
      </c>
      <c r="D43" s="409">
        <v>6</v>
      </c>
      <c r="E43" s="401" t="s">
        <v>761</v>
      </c>
      <c r="F43" s="411"/>
      <c r="G43" s="402">
        <f>D43*F43</f>
        <v>0</v>
      </c>
    </row>
    <row r="44" spans="1:7" s="160" customFormat="1" x14ac:dyDescent="0.35">
      <c r="A44" s="398"/>
      <c r="B44" s="399"/>
      <c r="C44" s="400"/>
      <c r="D44" s="409"/>
      <c r="E44" s="401"/>
      <c r="F44" s="411"/>
      <c r="G44" s="402">
        <f>ROUND(D44*F44,2)</f>
        <v>0</v>
      </c>
    </row>
    <row r="45" spans="1:7" s="160" customFormat="1" ht="69.75" x14ac:dyDescent="0.35">
      <c r="A45" s="398"/>
      <c r="B45" s="399"/>
      <c r="C45" s="400" t="s">
        <v>771</v>
      </c>
      <c r="D45" s="409">
        <v>34</v>
      </c>
      <c r="E45" s="401" t="s">
        <v>772</v>
      </c>
      <c r="F45" s="411"/>
      <c r="G45" s="402">
        <f>D45*F45</f>
        <v>0</v>
      </c>
    </row>
    <row r="46" spans="1:7" s="160" customFormat="1" x14ac:dyDescent="0.35">
      <c r="A46" s="398"/>
      <c r="B46" s="399"/>
      <c r="C46" s="400"/>
      <c r="D46" s="409"/>
      <c r="E46" s="401"/>
      <c r="F46" s="411"/>
      <c r="G46" s="402">
        <f>ROUND(D46*F46,2)</f>
        <v>0</v>
      </c>
    </row>
    <row r="47" spans="1:7" s="160" customFormat="1" ht="93" x14ac:dyDescent="0.35">
      <c r="A47" s="398"/>
      <c r="B47" s="399"/>
      <c r="C47" s="400" t="s">
        <v>773</v>
      </c>
      <c r="D47" s="409">
        <v>382</v>
      </c>
      <c r="E47" s="401" t="s">
        <v>772</v>
      </c>
      <c r="F47" s="411"/>
      <c r="G47" s="402">
        <f>D47*F47</f>
        <v>0</v>
      </c>
    </row>
    <row r="48" spans="1:7" s="160" customFormat="1" ht="24" thickBot="1" x14ac:dyDescent="0.4">
      <c r="A48" s="398"/>
      <c r="B48" s="399"/>
      <c r="C48" s="400"/>
      <c r="D48" s="409"/>
      <c r="E48" s="401"/>
      <c r="F48" s="411"/>
      <c r="G48" s="402">
        <f>ROUND(D48*F48,2)</f>
        <v>0</v>
      </c>
    </row>
    <row r="49" spans="1:7" s="160" customFormat="1" ht="24" thickBot="1" x14ac:dyDescent="0.4">
      <c r="A49" s="398"/>
      <c r="B49" s="399"/>
      <c r="C49" s="404" t="s">
        <v>760</v>
      </c>
      <c r="D49" s="409"/>
      <c r="E49" s="401"/>
      <c r="F49" s="411"/>
      <c r="G49" s="405">
        <f>SUM(G33:G48)</f>
        <v>0</v>
      </c>
    </row>
    <row r="50" spans="1:7" s="160" customFormat="1" ht="24" thickBot="1" x14ac:dyDescent="0.4">
      <c r="A50" s="398"/>
      <c r="B50" s="399"/>
      <c r="C50" s="400"/>
      <c r="D50" s="409"/>
      <c r="E50" s="401"/>
      <c r="F50" s="411"/>
      <c r="G50" s="402">
        <f>ROUND(D50*F50,2)</f>
        <v>0</v>
      </c>
    </row>
    <row r="51" spans="1:7" x14ac:dyDescent="0.35">
      <c r="A51" s="383"/>
      <c r="B51" s="384"/>
      <c r="C51" s="385"/>
      <c r="D51" s="386"/>
      <c r="E51" s="387"/>
      <c r="F51" s="410"/>
      <c r="G51" s="387"/>
    </row>
    <row r="52" spans="1:7" s="160" customFormat="1" x14ac:dyDescent="0.35">
      <c r="A52" s="388"/>
      <c r="B52" s="389"/>
      <c r="C52" s="390"/>
      <c r="D52" s="391"/>
      <c r="E52" s="391"/>
      <c r="F52" s="393" t="s">
        <v>2</v>
      </c>
      <c r="G52" s="393"/>
    </row>
    <row r="53" spans="1:7" s="160" customFormat="1" ht="24" thickBot="1" x14ac:dyDescent="0.4">
      <c r="A53" s="394"/>
      <c r="B53" s="395"/>
      <c r="C53" s="396" t="s">
        <v>753</v>
      </c>
      <c r="D53" s="397" t="s">
        <v>3</v>
      </c>
      <c r="E53" s="397" t="s">
        <v>1</v>
      </c>
      <c r="F53" s="397" t="s">
        <v>4</v>
      </c>
      <c r="G53" s="397" t="s">
        <v>5</v>
      </c>
    </row>
    <row r="54" spans="1:7" s="160" customFormat="1" x14ac:dyDescent="0.35">
      <c r="A54" s="398"/>
      <c r="B54" s="399"/>
      <c r="C54" s="400"/>
      <c r="D54" s="409"/>
      <c r="E54" s="401"/>
      <c r="F54" s="411"/>
      <c r="G54" s="402">
        <f>ROUND(D54*F54,2)</f>
        <v>0</v>
      </c>
    </row>
    <row r="55" spans="1:7" s="160" customFormat="1" ht="46.5" x14ac:dyDescent="0.35">
      <c r="A55" s="398"/>
      <c r="B55" s="399"/>
      <c r="C55" s="403" t="s">
        <v>784</v>
      </c>
      <c r="D55" s="409"/>
      <c r="E55" s="401"/>
      <c r="F55" s="411"/>
      <c r="G55" s="402">
        <f>ROUND(D55*F55,2)</f>
        <v>0</v>
      </c>
    </row>
    <row r="56" spans="1:7" s="160" customFormat="1" x14ac:dyDescent="0.35">
      <c r="A56" s="398"/>
      <c r="B56" s="399"/>
      <c r="C56" s="400"/>
      <c r="D56" s="409"/>
      <c r="E56" s="401"/>
      <c r="F56" s="411"/>
      <c r="G56" s="402">
        <f>ROUND(D56*F56,2)</f>
        <v>0</v>
      </c>
    </row>
    <row r="57" spans="1:7" s="160" customFormat="1" ht="116.25" x14ac:dyDescent="0.35">
      <c r="A57" s="398"/>
      <c r="B57" s="399"/>
      <c r="C57" s="400" t="s">
        <v>890</v>
      </c>
      <c r="D57" s="409">
        <v>130</v>
      </c>
      <c r="E57" s="401" t="s">
        <v>772</v>
      </c>
      <c r="F57" s="411"/>
      <c r="G57" s="402">
        <f>D57*F57</f>
        <v>0</v>
      </c>
    </row>
    <row r="58" spans="1:7" s="160" customFormat="1" x14ac:dyDescent="0.35">
      <c r="A58" s="398"/>
      <c r="B58" s="399"/>
      <c r="C58" s="400"/>
      <c r="D58" s="409"/>
      <c r="E58" s="401"/>
      <c r="F58" s="411"/>
      <c r="G58" s="402">
        <f t="shared" ref="G58:G76" si="0">ROUND(D58*F58,2)</f>
        <v>0</v>
      </c>
    </row>
    <row r="59" spans="1:7" s="160" customFormat="1" ht="69.75" x14ac:dyDescent="0.35">
      <c r="A59" s="398"/>
      <c r="B59" s="399"/>
      <c r="C59" s="400" t="s">
        <v>832</v>
      </c>
      <c r="D59" s="409">
        <v>130</v>
      </c>
      <c r="E59" s="401" t="s">
        <v>772</v>
      </c>
      <c r="F59" s="411"/>
      <c r="G59" s="402">
        <f>D59*F59</f>
        <v>0</v>
      </c>
    </row>
    <row r="60" spans="1:7" s="160" customFormat="1" x14ac:dyDescent="0.35">
      <c r="A60" s="398"/>
      <c r="B60" s="399"/>
      <c r="C60" s="400"/>
      <c r="D60" s="409"/>
      <c r="E60" s="401"/>
      <c r="F60" s="411"/>
      <c r="G60" s="402">
        <f t="shared" si="0"/>
        <v>0</v>
      </c>
    </row>
    <row r="61" spans="1:7" s="160" customFormat="1" ht="46.5" x14ac:dyDescent="0.35">
      <c r="A61" s="398"/>
      <c r="B61" s="399"/>
      <c r="C61" s="400" t="s">
        <v>774</v>
      </c>
      <c r="D61" s="409">
        <v>130</v>
      </c>
      <c r="E61" s="401" t="s">
        <v>772</v>
      </c>
      <c r="F61" s="411"/>
      <c r="G61" s="402">
        <f>D61*F61</f>
        <v>0</v>
      </c>
    </row>
    <row r="62" spans="1:7" s="160" customFormat="1" x14ac:dyDescent="0.35">
      <c r="A62" s="398"/>
      <c r="B62" s="399"/>
      <c r="C62" s="400"/>
      <c r="D62" s="409"/>
      <c r="E62" s="401"/>
      <c r="F62" s="411"/>
      <c r="G62" s="402">
        <f t="shared" si="0"/>
        <v>0</v>
      </c>
    </row>
    <row r="63" spans="1:7" s="160" customFormat="1" ht="93" x14ac:dyDescent="0.35">
      <c r="A63" s="398"/>
      <c r="B63" s="399"/>
      <c r="C63" s="400" t="s">
        <v>775</v>
      </c>
      <c r="D63" s="409">
        <v>76</v>
      </c>
      <c r="E63" s="401" t="s">
        <v>772</v>
      </c>
      <c r="F63" s="411"/>
      <c r="G63" s="402">
        <f>D63*F63</f>
        <v>0</v>
      </c>
    </row>
    <row r="64" spans="1:7" s="160" customFormat="1" x14ac:dyDescent="0.35">
      <c r="A64" s="398"/>
      <c r="B64" s="399"/>
      <c r="C64" s="400"/>
      <c r="D64" s="409"/>
      <c r="E64" s="401"/>
      <c r="F64" s="411"/>
      <c r="G64" s="402">
        <f t="shared" si="0"/>
        <v>0</v>
      </c>
    </row>
    <row r="65" spans="1:7" s="160" customFormat="1" ht="46.5" x14ac:dyDescent="0.35">
      <c r="A65" s="398"/>
      <c r="B65" s="399"/>
      <c r="C65" s="400" t="s">
        <v>776</v>
      </c>
      <c r="D65" s="409">
        <v>76</v>
      </c>
      <c r="E65" s="401" t="s">
        <v>772</v>
      </c>
      <c r="F65" s="411"/>
      <c r="G65" s="402">
        <f>D65*F65</f>
        <v>0</v>
      </c>
    </row>
    <row r="66" spans="1:7" s="160" customFormat="1" x14ac:dyDescent="0.35">
      <c r="A66" s="398"/>
      <c r="B66" s="399"/>
      <c r="C66" s="400"/>
      <c r="D66" s="409"/>
      <c r="E66" s="401"/>
      <c r="F66" s="411"/>
      <c r="G66" s="402">
        <f t="shared" si="0"/>
        <v>0</v>
      </c>
    </row>
    <row r="67" spans="1:7" s="160" customFormat="1" ht="116.25" x14ac:dyDescent="0.35">
      <c r="A67" s="398"/>
      <c r="B67" s="399"/>
      <c r="C67" s="400" t="s">
        <v>781</v>
      </c>
      <c r="D67" s="409">
        <v>252</v>
      </c>
      <c r="E67" s="401" t="s">
        <v>772</v>
      </c>
      <c r="F67" s="411"/>
      <c r="G67" s="402">
        <f>D67*F67</f>
        <v>0</v>
      </c>
    </row>
    <row r="68" spans="1:7" s="160" customFormat="1" x14ac:dyDescent="0.35">
      <c r="A68" s="398"/>
      <c r="B68" s="399"/>
      <c r="C68" s="400"/>
      <c r="D68" s="409"/>
      <c r="E68" s="401"/>
      <c r="F68" s="411"/>
      <c r="G68" s="402">
        <f t="shared" si="0"/>
        <v>0</v>
      </c>
    </row>
    <row r="69" spans="1:7" s="160" customFormat="1" ht="116.25" x14ac:dyDescent="0.35">
      <c r="A69" s="398"/>
      <c r="B69" s="399"/>
      <c r="C69" s="400" t="s">
        <v>782</v>
      </c>
      <c r="D69" s="409">
        <v>144</v>
      </c>
      <c r="E69" s="401" t="s">
        <v>772</v>
      </c>
      <c r="F69" s="411"/>
      <c r="G69" s="402">
        <f>D69*F69</f>
        <v>0</v>
      </c>
    </row>
    <row r="70" spans="1:7" s="160" customFormat="1" x14ac:dyDescent="0.35">
      <c r="A70" s="398"/>
      <c r="B70" s="399"/>
      <c r="C70" s="400"/>
      <c r="D70" s="409"/>
      <c r="E70" s="401"/>
      <c r="F70" s="411"/>
      <c r="G70" s="402">
        <f t="shared" si="0"/>
        <v>0</v>
      </c>
    </row>
    <row r="71" spans="1:7" s="160" customFormat="1" ht="93" x14ac:dyDescent="0.35">
      <c r="A71" s="398"/>
      <c r="B71" s="399"/>
      <c r="C71" s="400" t="s">
        <v>864</v>
      </c>
      <c r="D71" s="409">
        <v>1</v>
      </c>
      <c r="E71" s="401" t="s">
        <v>761</v>
      </c>
      <c r="F71" s="411"/>
      <c r="G71" s="402">
        <f>D71*F71</f>
        <v>0</v>
      </c>
    </row>
    <row r="72" spans="1:7" s="160" customFormat="1" x14ac:dyDescent="0.35">
      <c r="A72" s="398"/>
      <c r="B72" s="399"/>
      <c r="C72" s="400"/>
      <c r="D72" s="409"/>
      <c r="E72" s="401"/>
      <c r="F72" s="411"/>
      <c r="G72" s="402">
        <f t="shared" si="0"/>
        <v>0</v>
      </c>
    </row>
    <row r="73" spans="1:7" s="160" customFormat="1" x14ac:dyDescent="0.35">
      <c r="A73" s="398"/>
      <c r="B73" s="399"/>
      <c r="C73" s="400"/>
      <c r="D73" s="409"/>
      <c r="E73" s="401"/>
      <c r="F73" s="411"/>
      <c r="G73" s="402">
        <f t="shared" si="0"/>
        <v>0</v>
      </c>
    </row>
    <row r="74" spans="1:7" s="160" customFormat="1" ht="24" thickBot="1" x14ac:dyDescent="0.4">
      <c r="A74" s="398"/>
      <c r="B74" s="399"/>
      <c r="C74" s="400"/>
      <c r="D74" s="409"/>
      <c r="E74" s="401"/>
      <c r="F74" s="411"/>
      <c r="G74" s="402">
        <f t="shared" si="0"/>
        <v>0</v>
      </c>
    </row>
    <row r="75" spans="1:7" s="160" customFormat="1" ht="24" thickBot="1" x14ac:dyDescent="0.4">
      <c r="A75" s="398"/>
      <c r="B75" s="399"/>
      <c r="C75" s="404" t="s">
        <v>760</v>
      </c>
      <c r="D75" s="409"/>
      <c r="E75" s="401"/>
      <c r="F75" s="411"/>
      <c r="G75" s="405">
        <f>SUM(G56:G74)</f>
        <v>0</v>
      </c>
    </row>
    <row r="76" spans="1:7" s="160" customFormat="1" ht="24" thickBot="1" x14ac:dyDescent="0.4">
      <c r="A76" s="398"/>
      <c r="B76" s="399"/>
      <c r="C76" s="400"/>
      <c r="D76" s="409"/>
      <c r="E76" s="401"/>
      <c r="F76" s="411"/>
      <c r="G76" s="402">
        <f t="shared" si="0"/>
        <v>0</v>
      </c>
    </row>
    <row r="77" spans="1:7" x14ac:dyDescent="0.35">
      <c r="A77" s="383"/>
      <c r="B77" s="384"/>
      <c r="C77" s="385"/>
      <c r="D77" s="386"/>
      <c r="E77" s="387"/>
      <c r="F77" s="410"/>
      <c r="G77" s="387"/>
    </row>
    <row r="78" spans="1:7" s="160" customFormat="1" x14ac:dyDescent="0.35">
      <c r="A78" s="388"/>
      <c r="B78" s="389"/>
      <c r="C78" s="390"/>
      <c r="D78" s="391"/>
      <c r="E78" s="391"/>
      <c r="F78" s="393" t="s">
        <v>2</v>
      </c>
      <c r="G78" s="393"/>
    </row>
    <row r="79" spans="1:7" s="160" customFormat="1" ht="24" thickBot="1" x14ac:dyDescent="0.4">
      <c r="A79" s="394"/>
      <c r="B79" s="395"/>
      <c r="C79" s="396" t="s">
        <v>753</v>
      </c>
      <c r="D79" s="397" t="s">
        <v>3</v>
      </c>
      <c r="E79" s="397" t="s">
        <v>1</v>
      </c>
      <c r="F79" s="397" t="s">
        <v>4</v>
      </c>
      <c r="G79" s="397" t="s">
        <v>5</v>
      </c>
    </row>
    <row r="80" spans="1:7" s="160" customFormat="1" x14ac:dyDescent="0.35">
      <c r="A80" s="398"/>
      <c r="B80" s="399"/>
      <c r="C80" s="400"/>
      <c r="D80" s="409"/>
      <c r="E80" s="401"/>
      <c r="F80" s="411"/>
      <c r="G80" s="402">
        <f t="shared" ref="G80:G130" si="1">ROUND(D80*F80,2)</f>
        <v>0</v>
      </c>
    </row>
    <row r="81" spans="1:7" s="160" customFormat="1" ht="46.5" x14ac:dyDescent="0.35">
      <c r="A81" s="398"/>
      <c r="B81" s="399"/>
      <c r="C81" s="403" t="s">
        <v>784</v>
      </c>
      <c r="D81" s="409"/>
      <c r="E81" s="401"/>
      <c r="F81" s="411"/>
      <c r="G81" s="402">
        <f t="shared" si="1"/>
        <v>0</v>
      </c>
    </row>
    <row r="82" spans="1:7" s="160" customFormat="1" ht="18.75" customHeight="1" x14ac:dyDescent="0.35">
      <c r="A82" s="398"/>
      <c r="B82" s="399"/>
      <c r="C82" s="400"/>
      <c r="D82" s="409"/>
      <c r="E82" s="401"/>
      <c r="F82" s="411"/>
      <c r="G82" s="402">
        <f t="shared" si="1"/>
        <v>0</v>
      </c>
    </row>
    <row r="83" spans="1:7" s="160" customFormat="1" ht="139.5" x14ac:dyDescent="0.35">
      <c r="A83" s="398"/>
      <c r="B83" s="399"/>
      <c r="C83" s="400" t="s">
        <v>778</v>
      </c>
      <c r="D83" s="409">
        <v>6</v>
      </c>
      <c r="E83" s="401" t="s">
        <v>777</v>
      </c>
      <c r="F83" s="411"/>
      <c r="G83" s="402">
        <f>D83*F83</f>
        <v>0</v>
      </c>
    </row>
    <row r="84" spans="1:7" s="160" customFormat="1" x14ac:dyDescent="0.35">
      <c r="A84" s="398"/>
      <c r="B84" s="399"/>
      <c r="C84" s="400"/>
      <c r="D84" s="409"/>
      <c r="E84" s="401"/>
      <c r="F84" s="411"/>
      <c r="G84" s="402">
        <f t="shared" si="1"/>
        <v>0</v>
      </c>
    </row>
    <row r="85" spans="1:7" s="160" customFormat="1" ht="116.25" x14ac:dyDescent="0.35">
      <c r="A85" s="398"/>
      <c r="B85" s="399"/>
      <c r="C85" s="400" t="s">
        <v>779</v>
      </c>
      <c r="D85" s="409">
        <v>6</v>
      </c>
      <c r="E85" s="401" t="s">
        <v>777</v>
      </c>
      <c r="F85" s="411"/>
      <c r="G85" s="402">
        <f>D85*F85</f>
        <v>0</v>
      </c>
    </row>
    <row r="86" spans="1:7" s="160" customFormat="1" x14ac:dyDescent="0.35">
      <c r="A86" s="398"/>
      <c r="B86" s="399"/>
      <c r="C86" s="400"/>
      <c r="D86" s="409"/>
      <c r="E86" s="401"/>
      <c r="F86" s="411"/>
      <c r="G86" s="402">
        <f t="shared" si="1"/>
        <v>0</v>
      </c>
    </row>
    <row r="87" spans="1:7" s="160" customFormat="1" ht="139.5" x14ac:dyDescent="0.35">
      <c r="A87" s="398"/>
      <c r="B87" s="399"/>
      <c r="C87" s="400" t="s">
        <v>780</v>
      </c>
      <c r="D87" s="409">
        <v>6</v>
      </c>
      <c r="E87" s="401" t="s">
        <v>777</v>
      </c>
      <c r="F87" s="411"/>
      <c r="G87" s="402">
        <f>D87*F87</f>
        <v>0</v>
      </c>
    </row>
    <row r="88" spans="1:7" s="160" customFormat="1" x14ac:dyDescent="0.35">
      <c r="A88" s="398"/>
      <c r="B88" s="399"/>
      <c r="C88" s="400"/>
      <c r="D88" s="409"/>
      <c r="E88" s="401"/>
      <c r="F88" s="411"/>
      <c r="G88" s="402">
        <f t="shared" si="1"/>
        <v>0</v>
      </c>
    </row>
    <row r="89" spans="1:7" s="160" customFormat="1" ht="116.25" x14ac:dyDescent="0.35">
      <c r="A89" s="398"/>
      <c r="B89" s="399"/>
      <c r="C89" s="400" t="s">
        <v>834</v>
      </c>
      <c r="D89" s="409">
        <v>72</v>
      </c>
      <c r="E89" s="401" t="s">
        <v>26</v>
      </c>
      <c r="F89" s="411"/>
      <c r="G89" s="402">
        <f>D89*F89</f>
        <v>0</v>
      </c>
    </row>
    <row r="90" spans="1:7" s="160" customFormat="1" x14ac:dyDescent="0.35">
      <c r="A90" s="398"/>
      <c r="B90" s="399"/>
      <c r="C90" s="400"/>
      <c r="D90" s="409"/>
      <c r="E90" s="401"/>
      <c r="F90" s="411"/>
      <c r="G90" s="402">
        <f t="shared" si="1"/>
        <v>0</v>
      </c>
    </row>
    <row r="91" spans="1:7" s="160" customFormat="1" ht="162.75" x14ac:dyDescent="0.35">
      <c r="A91" s="398"/>
      <c r="B91" s="399"/>
      <c r="C91" s="400" t="s">
        <v>868</v>
      </c>
      <c r="D91" s="409">
        <v>6</v>
      </c>
      <c r="E91" s="401" t="s">
        <v>777</v>
      </c>
      <c r="F91" s="411"/>
      <c r="G91" s="402">
        <f>D91*F91</f>
        <v>0</v>
      </c>
    </row>
    <row r="92" spans="1:7" s="160" customFormat="1" x14ac:dyDescent="0.35">
      <c r="A92" s="398"/>
      <c r="B92" s="399"/>
      <c r="C92" s="400"/>
      <c r="D92" s="409"/>
      <c r="E92" s="401"/>
      <c r="F92" s="411"/>
      <c r="G92" s="402">
        <f t="shared" si="1"/>
        <v>0</v>
      </c>
    </row>
    <row r="93" spans="1:7" s="160" customFormat="1" x14ac:dyDescent="0.35">
      <c r="A93" s="398"/>
      <c r="B93" s="399"/>
      <c r="C93" s="400"/>
      <c r="D93" s="409"/>
      <c r="E93" s="401"/>
      <c r="F93" s="411"/>
      <c r="G93" s="402">
        <f t="shared" si="1"/>
        <v>0</v>
      </c>
    </row>
    <row r="94" spans="1:7" s="160" customFormat="1" x14ac:dyDescent="0.35">
      <c r="A94" s="398"/>
      <c r="B94" s="399"/>
      <c r="C94" s="400"/>
      <c r="D94" s="409"/>
      <c r="E94" s="401"/>
      <c r="F94" s="411"/>
      <c r="G94" s="402">
        <f t="shared" si="1"/>
        <v>0</v>
      </c>
    </row>
    <row r="95" spans="1:7" s="160" customFormat="1" x14ac:dyDescent="0.35">
      <c r="A95" s="398"/>
      <c r="B95" s="399"/>
      <c r="C95" s="400"/>
      <c r="D95" s="409"/>
      <c r="E95" s="401"/>
      <c r="F95" s="411"/>
      <c r="G95" s="402">
        <f t="shared" si="1"/>
        <v>0</v>
      </c>
    </row>
    <row r="96" spans="1:7" s="160" customFormat="1" x14ac:dyDescent="0.35">
      <c r="A96" s="398"/>
      <c r="B96" s="399"/>
      <c r="C96" s="400"/>
      <c r="D96" s="409"/>
      <c r="E96" s="401"/>
      <c r="F96" s="411"/>
      <c r="G96" s="402">
        <f t="shared" si="1"/>
        <v>0</v>
      </c>
    </row>
    <row r="97" spans="1:7" s="160" customFormat="1" x14ac:dyDescent="0.35">
      <c r="A97" s="398"/>
      <c r="B97" s="399"/>
      <c r="C97" s="400"/>
      <c r="D97" s="409"/>
      <c r="E97" s="401"/>
      <c r="F97" s="411"/>
      <c r="G97" s="402">
        <f t="shared" si="1"/>
        <v>0</v>
      </c>
    </row>
    <row r="98" spans="1:7" s="160" customFormat="1" x14ac:dyDescent="0.35">
      <c r="A98" s="398"/>
      <c r="B98" s="399"/>
      <c r="C98" s="400"/>
      <c r="D98" s="409"/>
      <c r="E98" s="401"/>
      <c r="F98" s="411"/>
      <c r="G98" s="402">
        <f t="shared" si="1"/>
        <v>0</v>
      </c>
    </row>
    <row r="99" spans="1:7" s="160" customFormat="1" ht="24" thickBot="1" x14ac:dyDescent="0.4">
      <c r="A99" s="398"/>
      <c r="B99" s="399"/>
      <c r="C99" s="400"/>
      <c r="D99" s="409"/>
      <c r="E99" s="401"/>
      <c r="F99" s="411"/>
      <c r="G99" s="402">
        <f t="shared" si="1"/>
        <v>0</v>
      </c>
    </row>
    <row r="100" spans="1:7" s="160" customFormat="1" ht="24" thickBot="1" x14ac:dyDescent="0.4">
      <c r="A100" s="398"/>
      <c r="B100" s="399"/>
      <c r="C100" s="404" t="s">
        <v>760</v>
      </c>
      <c r="D100" s="409"/>
      <c r="E100" s="401"/>
      <c r="F100" s="411"/>
      <c r="G100" s="405">
        <f>SUM(G81:G99)</f>
        <v>0</v>
      </c>
    </row>
    <row r="101" spans="1:7" s="160" customFormat="1" x14ac:dyDescent="0.35">
      <c r="A101" s="398"/>
      <c r="B101" s="399"/>
      <c r="C101" s="400"/>
      <c r="D101" s="409"/>
      <c r="E101" s="401"/>
      <c r="F101" s="411"/>
      <c r="G101" s="402">
        <f t="shared" si="1"/>
        <v>0</v>
      </c>
    </row>
    <row r="102" spans="1:7" s="160" customFormat="1" ht="24" thickBot="1" x14ac:dyDescent="0.4">
      <c r="A102" s="398"/>
      <c r="B102" s="399"/>
      <c r="C102" s="400"/>
      <c r="D102" s="409"/>
      <c r="E102" s="401"/>
      <c r="F102" s="411"/>
      <c r="G102" s="402">
        <f t="shared" si="1"/>
        <v>0</v>
      </c>
    </row>
    <row r="103" spans="1:7" x14ac:dyDescent="0.35">
      <c r="A103" s="383"/>
      <c r="B103" s="384"/>
      <c r="C103" s="385"/>
      <c r="D103" s="386"/>
      <c r="E103" s="387"/>
      <c r="F103" s="410"/>
      <c r="G103" s="387"/>
    </row>
    <row r="104" spans="1:7" s="160" customFormat="1" x14ac:dyDescent="0.35">
      <c r="A104" s="388"/>
      <c r="B104" s="389"/>
      <c r="C104" s="390"/>
      <c r="D104" s="391"/>
      <c r="E104" s="391"/>
      <c r="F104" s="393" t="s">
        <v>2</v>
      </c>
      <c r="G104" s="393"/>
    </row>
    <row r="105" spans="1:7" s="160" customFormat="1" ht="24" thickBot="1" x14ac:dyDescent="0.4">
      <c r="A105" s="394"/>
      <c r="B105" s="395"/>
      <c r="C105" s="396" t="s">
        <v>753</v>
      </c>
      <c r="D105" s="397" t="s">
        <v>3</v>
      </c>
      <c r="E105" s="397" t="s">
        <v>1</v>
      </c>
      <c r="F105" s="397" t="s">
        <v>4</v>
      </c>
      <c r="G105" s="397" t="s">
        <v>5</v>
      </c>
    </row>
    <row r="106" spans="1:7" s="160" customFormat="1" x14ac:dyDescent="0.35">
      <c r="A106" s="398"/>
      <c r="B106" s="399"/>
      <c r="C106" s="400"/>
      <c r="D106" s="409"/>
      <c r="E106" s="401"/>
      <c r="F106" s="411"/>
      <c r="G106" s="402">
        <f t="shared" si="1"/>
        <v>0</v>
      </c>
    </row>
    <row r="107" spans="1:7" s="160" customFormat="1" ht="46.5" x14ac:dyDescent="0.35">
      <c r="A107" s="398"/>
      <c r="B107" s="399"/>
      <c r="C107" s="403" t="s">
        <v>784</v>
      </c>
      <c r="D107" s="409"/>
      <c r="E107" s="401"/>
      <c r="F107" s="411"/>
      <c r="G107" s="402">
        <f t="shared" si="1"/>
        <v>0</v>
      </c>
    </row>
    <row r="108" spans="1:7" s="160" customFormat="1" x14ac:dyDescent="0.35">
      <c r="A108" s="398"/>
      <c r="B108" s="399"/>
      <c r="C108" s="400"/>
      <c r="D108" s="409"/>
      <c r="E108" s="401"/>
      <c r="F108" s="411"/>
      <c r="G108" s="402">
        <f t="shared" si="1"/>
        <v>0</v>
      </c>
    </row>
    <row r="109" spans="1:7" s="160" customFormat="1" x14ac:dyDescent="0.35">
      <c r="A109" s="398"/>
      <c r="B109" s="399"/>
      <c r="C109" s="412" t="s">
        <v>786</v>
      </c>
      <c r="D109" s="409"/>
      <c r="E109" s="401"/>
      <c r="F109" s="411"/>
      <c r="G109" s="402">
        <f t="shared" si="1"/>
        <v>0</v>
      </c>
    </row>
    <row r="110" spans="1:7" s="160" customFormat="1" x14ac:dyDescent="0.35">
      <c r="A110" s="398"/>
      <c r="B110" s="399"/>
      <c r="C110" s="400"/>
      <c r="D110" s="409"/>
      <c r="E110" s="401"/>
      <c r="F110" s="411"/>
      <c r="G110" s="402">
        <f t="shared" si="1"/>
        <v>0</v>
      </c>
    </row>
    <row r="111" spans="1:7" s="160" customFormat="1" ht="46.5" x14ac:dyDescent="0.35">
      <c r="A111" s="398"/>
      <c r="B111" s="399"/>
      <c r="C111" s="400" t="s">
        <v>789</v>
      </c>
      <c r="D111" s="409">
        <v>1</v>
      </c>
      <c r="E111" s="401" t="s">
        <v>756</v>
      </c>
      <c r="F111" s="411"/>
      <c r="G111" s="402">
        <f>D111*F111</f>
        <v>0</v>
      </c>
    </row>
    <row r="112" spans="1:7" s="160" customFormat="1" x14ac:dyDescent="0.35">
      <c r="A112" s="398"/>
      <c r="B112" s="399"/>
      <c r="C112" s="400"/>
      <c r="D112" s="409"/>
      <c r="E112" s="401"/>
      <c r="F112" s="411"/>
      <c r="G112" s="402">
        <f t="shared" si="1"/>
        <v>0</v>
      </c>
    </row>
    <row r="113" spans="1:7" s="160" customFormat="1" ht="69.75" x14ac:dyDescent="0.35">
      <c r="A113" s="398"/>
      <c r="B113" s="399"/>
      <c r="C113" s="400" t="s">
        <v>787</v>
      </c>
      <c r="D113" s="409">
        <v>31</v>
      </c>
      <c r="E113" s="401" t="s">
        <v>26</v>
      </c>
      <c r="F113" s="411"/>
      <c r="G113" s="402">
        <f>D113*F113</f>
        <v>0</v>
      </c>
    </row>
    <row r="114" spans="1:7" s="160" customFormat="1" x14ac:dyDescent="0.35">
      <c r="A114" s="398"/>
      <c r="B114" s="399"/>
      <c r="C114" s="400"/>
      <c r="D114" s="409"/>
      <c r="E114" s="401"/>
      <c r="F114" s="411"/>
      <c r="G114" s="402">
        <f t="shared" si="1"/>
        <v>0</v>
      </c>
    </row>
    <row r="115" spans="1:7" s="160" customFormat="1" ht="46.5" x14ac:dyDescent="0.35">
      <c r="A115" s="398"/>
      <c r="B115" s="399"/>
      <c r="C115" s="400" t="s">
        <v>788</v>
      </c>
      <c r="D115" s="409">
        <v>412</v>
      </c>
      <c r="E115" s="401" t="s">
        <v>772</v>
      </c>
      <c r="F115" s="411"/>
      <c r="G115" s="402">
        <f>D115*F115</f>
        <v>0</v>
      </c>
    </row>
    <row r="116" spans="1:7" s="160" customFormat="1" x14ac:dyDescent="0.35">
      <c r="A116" s="398"/>
      <c r="B116" s="399"/>
      <c r="C116" s="400"/>
      <c r="D116" s="409"/>
      <c r="E116" s="401"/>
      <c r="F116" s="411"/>
      <c r="G116" s="402">
        <f t="shared" si="1"/>
        <v>0</v>
      </c>
    </row>
    <row r="117" spans="1:7" s="160" customFormat="1" ht="116.25" x14ac:dyDescent="0.35">
      <c r="A117" s="398"/>
      <c r="B117" s="399"/>
      <c r="C117" s="400" t="s">
        <v>791</v>
      </c>
      <c r="D117" s="409"/>
      <c r="E117" s="401"/>
      <c r="F117" s="411"/>
      <c r="G117" s="402">
        <f t="shared" si="1"/>
        <v>0</v>
      </c>
    </row>
    <row r="118" spans="1:7" s="160" customFormat="1" ht="24" thickBot="1" x14ac:dyDescent="0.4">
      <c r="A118" s="398"/>
      <c r="B118" s="399"/>
      <c r="C118" s="400"/>
      <c r="D118" s="409"/>
      <c r="E118" s="401"/>
      <c r="F118" s="411"/>
      <c r="G118" s="402">
        <f t="shared" si="1"/>
        <v>0</v>
      </c>
    </row>
    <row r="119" spans="1:7" s="160" customFormat="1" ht="70.5" thickBot="1" x14ac:dyDescent="0.4">
      <c r="A119" s="398"/>
      <c r="B119" s="399"/>
      <c r="C119" s="400" t="s">
        <v>938</v>
      </c>
      <c r="D119" s="409">
        <v>1</v>
      </c>
      <c r="E119" s="401" t="s">
        <v>756</v>
      </c>
      <c r="F119" s="411"/>
      <c r="G119" s="433">
        <f>D119*F119</f>
        <v>0</v>
      </c>
    </row>
    <row r="120" spans="1:7" s="160" customFormat="1" ht="24" thickBot="1" x14ac:dyDescent="0.4">
      <c r="A120" s="398"/>
      <c r="B120" s="399"/>
      <c r="C120" s="400"/>
      <c r="D120" s="409"/>
      <c r="E120" s="401"/>
      <c r="F120" s="411"/>
      <c r="G120" s="402">
        <f t="shared" ref="G120:G122" si="2">ROUND(D120*F120,2)</f>
        <v>0</v>
      </c>
    </row>
    <row r="121" spans="1:7" s="160" customFormat="1" ht="47.25" customHeight="1" thickBot="1" x14ac:dyDescent="0.4">
      <c r="A121" s="398"/>
      <c r="B121" s="399"/>
      <c r="C121" s="400"/>
      <c r="D121" s="409"/>
      <c r="E121" s="401"/>
      <c r="F121" s="411"/>
      <c r="G121" s="433">
        <f>D121*F121</f>
        <v>0</v>
      </c>
    </row>
    <row r="122" spans="1:7" s="160" customFormat="1" ht="24" thickBot="1" x14ac:dyDescent="0.4">
      <c r="A122" s="398"/>
      <c r="B122" s="399"/>
      <c r="C122" s="400"/>
      <c r="D122" s="409"/>
      <c r="E122" s="401"/>
      <c r="F122" s="411"/>
      <c r="G122" s="402">
        <f t="shared" si="2"/>
        <v>0</v>
      </c>
    </row>
    <row r="123" spans="1:7" s="160" customFormat="1" ht="70.5" thickBot="1" x14ac:dyDescent="0.4">
      <c r="A123" s="398"/>
      <c r="B123" s="399"/>
      <c r="C123" s="400" t="s">
        <v>939</v>
      </c>
      <c r="D123" s="409">
        <v>1</v>
      </c>
      <c r="E123" s="401" t="s">
        <v>756</v>
      </c>
      <c r="F123" s="411"/>
      <c r="G123" s="433">
        <f>D123*F123</f>
        <v>0</v>
      </c>
    </row>
    <row r="124" spans="1:7" s="160" customFormat="1" x14ac:dyDescent="0.35">
      <c r="A124" s="398"/>
      <c r="B124" s="399"/>
      <c r="C124" s="400"/>
      <c r="D124" s="409"/>
      <c r="E124" s="401"/>
      <c r="F124" s="411"/>
      <c r="G124" s="402">
        <f t="shared" si="1"/>
        <v>0</v>
      </c>
    </row>
    <row r="125" spans="1:7" s="160" customFormat="1" x14ac:dyDescent="0.35">
      <c r="A125" s="398"/>
      <c r="B125" s="399"/>
      <c r="C125" s="400"/>
      <c r="D125" s="409"/>
      <c r="E125" s="401"/>
      <c r="F125" s="411"/>
      <c r="G125" s="402">
        <f t="shared" si="1"/>
        <v>0</v>
      </c>
    </row>
    <row r="126" spans="1:7" s="160" customFormat="1" x14ac:dyDescent="0.35">
      <c r="A126" s="398"/>
      <c r="B126" s="399"/>
      <c r="C126" s="400"/>
      <c r="D126" s="409"/>
      <c r="E126" s="401"/>
      <c r="F126" s="411"/>
      <c r="G126" s="402">
        <f t="shared" si="1"/>
        <v>0</v>
      </c>
    </row>
    <row r="127" spans="1:7" s="160" customFormat="1" x14ac:dyDescent="0.35">
      <c r="A127" s="398"/>
      <c r="B127" s="399"/>
      <c r="C127" s="400"/>
      <c r="D127" s="409"/>
      <c r="E127" s="401"/>
      <c r="F127" s="411"/>
      <c r="G127" s="402">
        <f t="shared" si="1"/>
        <v>0</v>
      </c>
    </row>
    <row r="128" spans="1:7" s="160" customFormat="1" ht="24" thickBot="1" x14ac:dyDescent="0.4">
      <c r="A128" s="398"/>
      <c r="B128" s="399"/>
      <c r="C128" s="400"/>
      <c r="D128" s="409"/>
      <c r="E128" s="401"/>
      <c r="F128" s="411"/>
      <c r="G128" s="402">
        <f t="shared" si="1"/>
        <v>0</v>
      </c>
    </row>
    <row r="129" spans="1:7" s="160" customFormat="1" ht="24" thickBot="1" x14ac:dyDescent="0.4">
      <c r="A129" s="398"/>
      <c r="B129" s="399"/>
      <c r="C129" s="404" t="s">
        <v>760</v>
      </c>
      <c r="D129" s="409"/>
      <c r="E129" s="401"/>
      <c r="F129" s="411"/>
      <c r="G129" s="405">
        <f>SUM(G108:G128)</f>
        <v>0</v>
      </c>
    </row>
    <row r="130" spans="1:7" s="160" customFormat="1" ht="24" thickBot="1" x14ac:dyDescent="0.4">
      <c r="A130" s="398"/>
      <c r="B130" s="399"/>
      <c r="C130" s="400"/>
      <c r="D130" s="409"/>
      <c r="E130" s="401"/>
      <c r="F130" s="411"/>
      <c r="G130" s="402">
        <f t="shared" si="1"/>
        <v>0</v>
      </c>
    </row>
    <row r="131" spans="1:7" x14ac:dyDescent="0.35">
      <c r="A131" s="383"/>
      <c r="B131" s="384"/>
      <c r="C131" s="385"/>
      <c r="D131" s="386"/>
      <c r="E131" s="387"/>
      <c r="F131" s="410"/>
      <c r="G131" s="387"/>
    </row>
    <row r="132" spans="1:7" s="160" customFormat="1" x14ac:dyDescent="0.35">
      <c r="A132" s="388"/>
      <c r="B132" s="389"/>
      <c r="C132" s="390"/>
      <c r="D132" s="391"/>
      <c r="E132" s="391"/>
      <c r="F132" s="393" t="s">
        <v>2</v>
      </c>
      <c r="G132" s="393"/>
    </row>
    <row r="133" spans="1:7" s="160" customFormat="1" ht="24" thickBot="1" x14ac:dyDescent="0.4">
      <c r="A133" s="394"/>
      <c r="B133" s="395"/>
      <c r="C133" s="396" t="s">
        <v>753</v>
      </c>
      <c r="D133" s="397" t="s">
        <v>3</v>
      </c>
      <c r="E133" s="397" t="s">
        <v>1</v>
      </c>
      <c r="F133" s="397" t="s">
        <v>4</v>
      </c>
      <c r="G133" s="397" t="s">
        <v>5</v>
      </c>
    </row>
    <row r="134" spans="1:7" s="160" customFormat="1" x14ac:dyDescent="0.35">
      <c r="A134" s="398"/>
      <c r="B134" s="399"/>
      <c r="C134" s="400"/>
      <c r="D134" s="409"/>
      <c r="E134" s="401"/>
      <c r="F134" s="411"/>
      <c r="G134" s="402">
        <f t="shared" ref="G134:G146" si="3">ROUND(D134*F134,2)</f>
        <v>0</v>
      </c>
    </row>
    <row r="135" spans="1:7" s="160" customFormat="1" ht="46.5" x14ac:dyDescent="0.35">
      <c r="A135" s="398"/>
      <c r="B135" s="399"/>
      <c r="C135" s="403" t="s">
        <v>784</v>
      </c>
      <c r="D135" s="409"/>
      <c r="E135" s="401"/>
      <c r="F135" s="411"/>
      <c r="G135" s="402">
        <f t="shared" si="3"/>
        <v>0</v>
      </c>
    </row>
    <row r="136" spans="1:7" s="160" customFormat="1" x14ac:dyDescent="0.35">
      <c r="A136" s="398"/>
      <c r="B136" s="399"/>
      <c r="C136" s="400"/>
      <c r="D136" s="409"/>
      <c r="E136" s="401"/>
      <c r="F136" s="411"/>
      <c r="G136" s="402">
        <f t="shared" si="3"/>
        <v>0</v>
      </c>
    </row>
    <row r="137" spans="1:7" s="160" customFormat="1" x14ac:dyDescent="0.35">
      <c r="A137" s="398"/>
      <c r="B137" s="399"/>
      <c r="C137" s="412" t="s">
        <v>790</v>
      </c>
      <c r="D137" s="409"/>
      <c r="E137" s="401"/>
      <c r="F137" s="411"/>
      <c r="G137" s="402">
        <f t="shared" si="3"/>
        <v>0</v>
      </c>
    </row>
    <row r="138" spans="1:7" s="160" customFormat="1" ht="24" thickBot="1" x14ac:dyDescent="0.4">
      <c r="A138" s="398"/>
      <c r="B138" s="399"/>
      <c r="C138" s="400"/>
      <c r="D138" s="409"/>
      <c r="E138" s="401"/>
      <c r="F138" s="411"/>
      <c r="G138" s="402">
        <f t="shared" si="3"/>
        <v>0</v>
      </c>
    </row>
    <row r="139" spans="1:7" s="160" customFormat="1" ht="117" thickBot="1" x14ac:dyDescent="0.4">
      <c r="A139" s="398"/>
      <c r="B139" s="399"/>
      <c r="C139" s="400" t="s">
        <v>940</v>
      </c>
      <c r="D139" s="409">
        <v>1</v>
      </c>
      <c r="E139" s="401" t="s">
        <v>756</v>
      </c>
      <c r="F139" s="411"/>
      <c r="G139" s="433">
        <f>D139*F139</f>
        <v>0</v>
      </c>
    </row>
    <row r="140" spans="1:7" s="160" customFormat="1" ht="24" thickBot="1" x14ac:dyDescent="0.4">
      <c r="A140" s="398"/>
      <c r="B140" s="399"/>
      <c r="C140" s="400"/>
      <c r="D140" s="409"/>
      <c r="E140" s="401"/>
      <c r="F140" s="411"/>
      <c r="G140" s="402"/>
    </row>
    <row r="141" spans="1:7" s="160" customFormat="1" ht="70.5" thickBot="1" x14ac:dyDescent="0.4">
      <c r="A141" s="398"/>
      <c r="B141" s="399"/>
      <c r="C141" s="400" t="s">
        <v>941</v>
      </c>
      <c r="D141" s="409">
        <v>1</v>
      </c>
      <c r="E141" s="401" t="s">
        <v>756</v>
      </c>
      <c r="F141" s="411"/>
      <c r="G141" s="433">
        <f>D141*F141</f>
        <v>0</v>
      </c>
    </row>
    <row r="142" spans="1:7" s="160" customFormat="1" x14ac:dyDescent="0.35">
      <c r="A142" s="398"/>
      <c r="B142" s="399"/>
      <c r="C142" s="400"/>
      <c r="D142" s="409"/>
      <c r="E142" s="401"/>
      <c r="F142" s="411"/>
      <c r="G142" s="402">
        <f t="shared" si="3"/>
        <v>0</v>
      </c>
    </row>
    <row r="143" spans="1:7" s="160" customFormat="1" ht="116.25" x14ac:dyDescent="0.35">
      <c r="A143" s="398"/>
      <c r="B143" s="399"/>
      <c r="C143" s="400" t="s">
        <v>795</v>
      </c>
      <c r="D143" s="409">
        <v>412</v>
      </c>
      <c r="E143" s="401" t="s">
        <v>772</v>
      </c>
      <c r="F143" s="411"/>
      <c r="G143" s="402">
        <f>D143*F143</f>
        <v>0</v>
      </c>
    </row>
    <row r="144" spans="1:7" s="160" customFormat="1" x14ac:dyDescent="0.35">
      <c r="A144" s="398"/>
      <c r="B144" s="399"/>
      <c r="C144" s="400"/>
      <c r="D144" s="409"/>
      <c r="E144" s="401"/>
      <c r="F144" s="411"/>
      <c r="G144" s="402">
        <f t="shared" si="3"/>
        <v>0</v>
      </c>
    </row>
    <row r="145" spans="1:7" s="160" customFormat="1" ht="69.75" x14ac:dyDescent="0.35">
      <c r="A145" s="398"/>
      <c r="B145" s="399"/>
      <c r="C145" s="400" t="s">
        <v>796</v>
      </c>
      <c r="D145" s="409">
        <v>31</v>
      </c>
      <c r="E145" s="401" t="s">
        <v>26</v>
      </c>
      <c r="F145" s="411"/>
      <c r="G145" s="402">
        <f>D145*F145</f>
        <v>0</v>
      </c>
    </row>
    <row r="146" spans="1:7" s="160" customFormat="1" x14ac:dyDescent="0.35">
      <c r="A146" s="398"/>
      <c r="B146" s="399"/>
      <c r="C146" s="400"/>
      <c r="D146" s="409"/>
      <c r="E146" s="401"/>
      <c r="F146" s="411"/>
      <c r="G146" s="402">
        <f t="shared" si="3"/>
        <v>0</v>
      </c>
    </row>
    <row r="147" spans="1:7" s="160" customFormat="1" ht="116.25" x14ac:dyDescent="0.35">
      <c r="A147" s="398"/>
      <c r="B147" s="399"/>
      <c r="C147" s="400" t="s">
        <v>797</v>
      </c>
      <c r="D147" s="409">
        <v>94</v>
      </c>
      <c r="E147" s="401" t="s">
        <v>26</v>
      </c>
      <c r="F147" s="411"/>
      <c r="G147" s="402">
        <f>D147*F147</f>
        <v>0</v>
      </c>
    </row>
    <row r="148" spans="1:7" s="160" customFormat="1" x14ac:dyDescent="0.35">
      <c r="A148" s="398"/>
      <c r="B148" s="399"/>
      <c r="C148" s="400"/>
      <c r="D148" s="409"/>
      <c r="E148" s="401"/>
      <c r="F148" s="411"/>
      <c r="G148" s="402">
        <f t="shared" ref="G148:G157" si="4">ROUND(D148*F148,2)</f>
        <v>0</v>
      </c>
    </row>
    <row r="149" spans="1:7" s="160" customFormat="1" x14ac:dyDescent="0.35">
      <c r="A149" s="398"/>
      <c r="B149" s="399"/>
      <c r="C149" s="400"/>
      <c r="D149" s="409"/>
      <c r="E149" s="401"/>
      <c r="F149" s="411"/>
      <c r="G149" s="402">
        <f t="shared" si="4"/>
        <v>0</v>
      </c>
    </row>
    <row r="150" spans="1:7" s="160" customFormat="1" x14ac:dyDescent="0.35">
      <c r="A150" s="398"/>
      <c r="B150" s="399"/>
      <c r="C150" s="400"/>
      <c r="D150" s="409"/>
      <c r="E150" s="401"/>
      <c r="F150" s="411"/>
      <c r="G150" s="402">
        <f t="shared" si="4"/>
        <v>0</v>
      </c>
    </row>
    <row r="151" spans="1:7" s="160" customFormat="1" x14ac:dyDescent="0.35">
      <c r="A151" s="398"/>
      <c r="B151" s="399"/>
      <c r="C151" s="400"/>
      <c r="D151" s="409"/>
      <c r="E151" s="401"/>
      <c r="F151" s="411"/>
      <c r="G151" s="402">
        <f t="shared" si="4"/>
        <v>0</v>
      </c>
    </row>
    <row r="152" spans="1:7" s="160" customFormat="1" x14ac:dyDescent="0.35">
      <c r="A152" s="398"/>
      <c r="B152" s="399"/>
      <c r="C152" s="400"/>
      <c r="D152" s="409"/>
      <c r="E152" s="401"/>
      <c r="F152" s="411"/>
      <c r="G152" s="402">
        <f t="shared" si="4"/>
        <v>0</v>
      </c>
    </row>
    <row r="153" spans="1:7" s="160" customFormat="1" x14ac:dyDescent="0.35">
      <c r="A153" s="398"/>
      <c r="B153" s="399"/>
      <c r="C153" s="400"/>
      <c r="D153" s="409"/>
      <c r="E153" s="401"/>
      <c r="F153" s="411"/>
      <c r="G153" s="402">
        <f t="shared" si="4"/>
        <v>0</v>
      </c>
    </row>
    <row r="154" spans="1:7" s="160" customFormat="1" x14ac:dyDescent="0.35">
      <c r="A154" s="398"/>
      <c r="B154" s="399"/>
      <c r="C154" s="400"/>
      <c r="D154" s="409"/>
      <c r="E154" s="401"/>
      <c r="F154" s="411"/>
      <c r="G154" s="402">
        <f t="shared" si="4"/>
        <v>0</v>
      </c>
    </row>
    <row r="155" spans="1:7" s="160" customFormat="1" ht="24" thickBot="1" x14ac:dyDescent="0.4">
      <c r="A155" s="398"/>
      <c r="B155" s="399"/>
      <c r="C155" s="400"/>
      <c r="D155" s="409"/>
      <c r="E155" s="401"/>
      <c r="F155" s="411"/>
      <c r="G155" s="402">
        <f t="shared" si="4"/>
        <v>0</v>
      </c>
    </row>
    <row r="156" spans="1:7" s="160" customFormat="1" ht="24" thickBot="1" x14ac:dyDescent="0.4">
      <c r="A156" s="398"/>
      <c r="B156" s="399"/>
      <c r="C156" s="404" t="s">
        <v>760</v>
      </c>
      <c r="D156" s="409"/>
      <c r="E156" s="401"/>
      <c r="F156" s="411"/>
      <c r="G156" s="405">
        <f>SUM(G136:G155)</f>
        <v>0</v>
      </c>
    </row>
    <row r="157" spans="1:7" s="160" customFormat="1" ht="24" thickBot="1" x14ac:dyDescent="0.4">
      <c r="A157" s="398"/>
      <c r="B157" s="399"/>
      <c r="C157" s="400"/>
      <c r="D157" s="409"/>
      <c r="E157" s="401"/>
      <c r="F157" s="411"/>
      <c r="G157" s="402">
        <f t="shared" si="4"/>
        <v>0</v>
      </c>
    </row>
    <row r="158" spans="1:7" x14ac:dyDescent="0.35">
      <c r="A158" s="383"/>
      <c r="B158" s="384"/>
      <c r="C158" s="385"/>
      <c r="D158" s="386"/>
      <c r="E158" s="387"/>
      <c r="F158" s="410"/>
      <c r="G158" s="387"/>
    </row>
    <row r="159" spans="1:7" s="160" customFormat="1" x14ac:dyDescent="0.35">
      <c r="A159" s="388"/>
      <c r="B159" s="389"/>
      <c r="C159" s="390"/>
      <c r="D159" s="391"/>
      <c r="E159" s="391"/>
      <c r="F159" s="393" t="s">
        <v>2</v>
      </c>
      <c r="G159" s="393"/>
    </row>
    <row r="160" spans="1:7" s="160" customFormat="1" ht="24" thickBot="1" x14ac:dyDescent="0.4">
      <c r="A160" s="394"/>
      <c r="B160" s="395"/>
      <c r="C160" s="396" t="s">
        <v>753</v>
      </c>
      <c r="D160" s="397" t="s">
        <v>3</v>
      </c>
      <c r="E160" s="397" t="s">
        <v>1</v>
      </c>
      <c r="F160" s="397" t="s">
        <v>4</v>
      </c>
      <c r="G160" s="397" t="s">
        <v>5</v>
      </c>
    </row>
    <row r="161" spans="1:7" s="160" customFormat="1" x14ac:dyDescent="0.35">
      <c r="A161" s="398"/>
      <c r="B161" s="399"/>
      <c r="C161" s="400"/>
      <c r="D161" s="409"/>
      <c r="E161" s="401"/>
      <c r="F161" s="411"/>
      <c r="G161" s="402">
        <f t="shared" ref="G161:G163" si="5">ROUND(D161*F161,2)</f>
        <v>0</v>
      </c>
    </row>
    <row r="162" spans="1:7" s="160" customFormat="1" ht="46.5" x14ac:dyDescent="0.35">
      <c r="A162" s="398"/>
      <c r="B162" s="399"/>
      <c r="C162" s="403" t="s">
        <v>792</v>
      </c>
      <c r="D162" s="409"/>
      <c r="E162" s="401"/>
      <c r="F162" s="411"/>
      <c r="G162" s="402">
        <f t="shared" si="5"/>
        <v>0</v>
      </c>
    </row>
    <row r="163" spans="1:7" s="160" customFormat="1" x14ac:dyDescent="0.35">
      <c r="A163" s="398"/>
      <c r="B163" s="399"/>
      <c r="C163" s="400"/>
      <c r="D163" s="409"/>
      <c r="E163" s="401"/>
      <c r="F163" s="411"/>
      <c r="G163" s="402">
        <f t="shared" si="5"/>
        <v>0</v>
      </c>
    </row>
    <row r="164" spans="1:7" s="160" customFormat="1" ht="232.5" x14ac:dyDescent="0.35">
      <c r="A164" s="398"/>
      <c r="B164" s="399"/>
      <c r="C164" s="400" t="s">
        <v>891</v>
      </c>
      <c r="D164" s="409">
        <v>58</v>
      </c>
      <c r="E164" s="401" t="s">
        <v>772</v>
      </c>
      <c r="F164" s="411"/>
      <c r="G164" s="402">
        <f>D164*F164</f>
        <v>0</v>
      </c>
    </row>
    <row r="165" spans="1:7" s="160" customFormat="1" x14ac:dyDescent="0.35">
      <c r="A165" s="398"/>
      <c r="B165" s="399"/>
      <c r="C165" s="400"/>
      <c r="D165" s="409"/>
      <c r="E165" s="401"/>
      <c r="F165" s="411"/>
      <c r="G165" s="402">
        <f t="shared" ref="G165:G214" si="6">ROUND(D165*F165,2)</f>
        <v>0</v>
      </c>
    </row>
    <row r="166" spans="1:7" s="160" customFormat="1" ht="232.5" x14ac:dyDescent="0.35">
      <c r="A166" s="398"/>
      <c r="B166" s="399"/>
      <c r="C166" s="400" t="s">
        <v>793</v>
      </c>
      <c r="D166" s="409">
        <v>65</v>
      </c>
      <c r="E166" s="401" t="s">
        <v>468</v>
      </c>
      <c r="F166" s="411"/>
      <c r="G166" s="402">
        <f>D166*F166</f>
        <v>0</v>
      </c>
    </row>
    <row r="167" spans="1:7" s="160" customFormat="1" x14ac:dyDescent="0.35">
      <c r="A167" s="398"/>
      <c r="B167" s="399"/>
      <c r="C167" s="400"/>
      <c r="D167" s="409"/>
      <c r="E167" s="401"/>
      <c r="F167" s="411"/>
      <c r="G167" s="402">
        <f t="shared" si="6"/>
        <v>0</v>
      </c>
    </row>
    <row r="168" spans="1:7" s="160" customFormat="1" ht="63.75" customHeight="1" x14ac:dyDescent="0.35">
      <c r="A168" s="398"/>
      <c r="B168" s="399"/>
      <c r="C168" s="413"/>
      <c r="D168" s="409"/>
      <c r="E168" s="401"/>
      <c r="F168" s="411"/>
      <c r="G168" s="402"/>
    </row>
    <row r="169" spans="1:7" s="160" customFormat="1" ht="87" customHeight="1" x14ac:dyDescent="0.35">
      <c r="A169" s="398"/>
      <c r="B169" s="399"/>
      <c r="C169" s="400"/>
      <c r="D169" s="409"/>
      <c r="E169" s="401"/>
      <c r="F169" s="411"/>
      <c r="G169" s="402"/>
    </row>
    <row r="170" spans="1:7" s="160" customFormat="1" ht="69.75" customHeight="1" x14ac:dyDescent="0.35">
      <c r="A170" s="398"/>
      <c r="B170" s="399"/>
      <c r="C170" s="400"/>
      <c r="D170" s="409"/>
      <c r="E170" s="401"/>
      <c r="F170" s="411"/>
      <c r="G170" s="402"/>
    </row>
    <row r="171" spans="1:7" s="160" customFormat="1" ht="95.25" customHeight="1" x14ac:dyDescent="0.35">
      <c r="A171" s="398"/>
      <c r="B171" s="399"/>
      <c r="C171" s="400"/>
      <c r="D171" s="409"/>
      <c r="E171" s="401"/>
      <c r="F171" s="411"/>
      <c r="G171" s="402"/>
    </row>
    <row r="172" spans="1:7" s="160" customFormat="1" x14ac:dyDescent="0.35">
      <c r="A172" s="398"/>
      <c r="B172" s="399"/>
      <c r="C172" s="400"/>
      <c r="D172" s="409"/>
      <c r="E172" s="401"/>
      <c r="F172" s="411"/>
      <c r="G172" s="402"/>
    </row>
    <row r="173" spans="1:7" s="160" customFormat="1" x14ac:dyDescent="0.35">
      <c r="A173" s="398"/>
      <c r="B173" s="399"/>
      <c r="C173" s="400"/>
      <c r="D173" s="409"/>
      <c r="E173" s="401"/>
      <c r="F173" s="411"/>
      <c r="G173" s="402">
        <f t="shared" ref="G173" si="7">ROUND(D173*F173,2)</f>
        <v>0</v>
      </c>
    </row>
    <row r="174" spans="1:7" s="160" customFormat="1" ht="69.75" x14ac:dyDescent="0.35">
      <c r="A174" s="398"/>
      <c r="B174" s="399"/>
      <c r="C174" s="400" t="s">
        <v>794</v>
      </c>
      <c r="D174" s="409">
        <v>1</v>
      </c>
      <c r="E174" s="401" t="s">
        <v>756</v>
      </c>
      <c r="F174" s="411"/>
      <c r="G174" s="402">
        <f>D174*F174</f>
        <v>0</v>
      </c>
    </row>
    <row r="175" spans="1:7" s="160" customFormat="1" x14ac:dyDescent="0.35">
      <c r="A175" s="398"/>
      <c r="B175" s="399"/>
      <c r="C175" s="400"/>
      <c r="D175" s="409"/>
      <c r="E175" s="401"/>
      <c r="F175" s="411"/>
      <c r="G175" s="402">
        <f t="shared" si="6"/>
        <v>0</v>
      </c>
    </row>
    <row r="176" spans="1:7" s="160" customFormat="1" ht="24" thickBot="1" x14ac:dyDescent="0.4">
      <c r="A176" s="398"/>
      <c r="B176" s="399"/>
      <c r="C176" s="400"/>
      <c r="D176" s="409"/>
      <c r="E176" s="401"/>
      <c r="F176" s="411"/>
      <c r="G176" s="402">
        <f t="shared" si="6"/>
        <v>0</v>
      </c>
    </row>
    <row r="177" spans="1:7" s="160" customFormat="1" ht="24" thickBot="1" x14ac:dyDescent="0.4">
      <c r="A177" s="398"/>
      <c r="B177" s="399"/>
      <c r="C177" s="404" t="s">
        <v>760</v>
      </c>
      <c r="D177" s="409"/>
      <c r="E177" s="401"/>
      <c r="F177" s="411"/>
      <c r="G177" s="405">
        <f>SUM(G162:G176)</f>
        <v>0</v>
      </c>
    </row>
    <row r="178" spans="1:7" s="160" customFormat="1" ht="24" thickBot="1" x14ac:dyDescent="0.4">
      <c r="A178" s="398"/>
      <c r="B178" s="399"/>
      <c r="C178" s="400"/>
      <c r="D178" s="409"/>
      <c r="E178" s="401"/>
      <c r="F178" s="411"/>
      <c r="G178" s="402">
        <f t="shared" si="6"/>
        <v>0</v>
      </c>
    </row>
    <row r="179" spans="1:7" ht="18" customHeight="1" x14ac:dyDescent="0.35">
      <c r="A179" s="383"/>
      <c r="B179" s="384"/>
      <c r="C179" s="385"/>
      <c r="D179" s="386"/>
      <c r="E179" s="387"/>
      <c r="F179" s="410"/>
      <c r="G179" s="387"/>
    </row>
    <row r="180" spans="1:7" s="160" customFormat="1" x14ac:dyDescent="0.35">
      <c r="A180" s="388"/>
      <c r="B180" s="389"/>
      <c r="C180" s="390"/>
      <c r="D180" s="391"/>
      <c r="E180" s="391"/>
      <c r="F180" s="393" t="s">
        <v>2</v>
      </c>
      <c r="G180" s="393"/>
    </row>
    <row r="181" spans="1:7" s="160" customFormat="1" ht="24" thickBot="1" x14ac:dyDescent="0.4">
      <c r="A181" s="394"/>
      <c r="B181" s="395"/>
      <c r="C181" s="396" t="s">
        <v>753</v>
      </c>
      <c r="D181" s="397" t="s">
        <v>3</v>
      </c>
      <c r="E181" s="397" t="s">
        <v>1</v>
      </c>
      <c r="F181" s="397" t="s">
        <v>4</v>
      </c>
      <c r="G181" s="397" t="s">
        <v>5</v>
      </c>
    </row>
    <row r="182" spans="1:7" s="160" customFormat="1" ht="18" customHeight="1" x14ac:dyDescent="0.35">
      <c r="A182" s="398"/>
      <c r="B182" s="399"/>
      <c r="C182" s="400"/>
      <c r="D182" s="409"/>
      <c r="E182" s="401"/>
      <c r="F182" s="411"/>
      <c r="G182" s="402">
        <f t="shared" si="6"/>
        <v>0</v>
      </c>
    </row>
    <row r="183" spans="1:7" s="160" customFormat="1" x14ac:dyDescent="0.35">
      <c r="A183" s="398"/>
      <c r="B183" s="399"/>
      <c r="C183" s="412" t="s">
        <v>798</v>
      </c>
      <c r="D183" s="409"/>
      <c r="E183" s="401"/>
      <c r="F183" s="411"/>
      <c r="G183" s="402">
        <f t="shared" si="6"/>
        <v>0</v>
      </c>
    </row>
    <row r="184" spans="1:7" s="160" customFormat="1" ht="16.5" customHeight="1" x14ac:dyDescent="0.35">
      <c r="A184" s="398"/>
      <c r="B184" s="399"/>
      <c r="C184" s="400"/>
      <c r="D184" s="409"/>
      <c r="E184" s="401"/>
      <c r="F184" s="411"/>
      <c r="G184" s="402">
        <f t="shared" si="6"/>
        <v>0</v>
      </c>
    </row>
    <row r="185" spans="1:7" s="160" customFormat="1" ht="93" x14ac:dyDescent="0.35">
      <c r="A185" s="398"/>
      <c r="B185" s="399"/>
      <c r="C185" s="400" t="s">
        <v>800</v>
      </c>
      <c r="D185" s="409">
        <v>1</v>
      </c>
      <c r="E185" s="401" t="s">
        <v>756</v>
      </c>
      <c r="F185" s="411"/>
      <c r="G185" s="402">
        <f>D185*F185</f>
        <v>0</v>
      </c>
    </row>
    <row r="186" spans="1:7" s="160" customFormat="1" ht="15.75" customHeight="1" x14ac:dyDescent="0.35">
      <c r="A186" s="398"/>
      <c r="B186" s="399"/>
      <c r="C186" s="400"/>
      <c r="D186" s="409"/>
      <c r="E186" s="401"/>
      <c r="F186" s="411"/>
      <c r="G186" s="402">
        <f t="shared" si="6"/>
        <v>0</v>
      </c>
    </row>
    <row r="187" spans="1:7" s="160" customFormat="1" ht="93" x14ac:dyDescent="0.35">
      <c r="A187" s="398"/>
      <c r="B187" s="399"/>
      <c r="C187" s="400" t="s">
        <v>799</v>
      </c>
      <c r="D187" s="409">
        <v>1</v>
      </c>
      <c r="E187" s="401" t="s">
        <v>756</v>
      </c>
      <c r="F187" s="411"/>
      <c r="G187" s="402">
        <f>D187*F187</f>
        <v>0</v>
      </c>
    </row>
    <row r="188" spans="1:7" s="160" customFormat="1" ht="18.75" customHeight="1" x14ac:dyDescent="0.35">
      <c r="A188" s="398"/>
      <c r="B188" s="399"/>
      <c r="C188" s="400"/>
      <c r="D188" s="409"/>
      <c r="E188" s="401"/>
      <c r="F188" s="411"/>
      <c r="G188" s="402">
        <f t="shared" si="6"/>
        <v>0</v>
      </c>
    </row>
    <row r="189" spans="1:7" s="160" customFormat="1" ht="93" x14ac:dyDescent="0.35">
      <c r="A189" s="398"/>
      <c r="B189" s="399"/>
      <c r="C189" s="400" t="s">
        <v>801</v>
      </c>
      <c r="D189" s="409">
        <v>1</v>
      </c>
      <c r="E189" s="401" t="s">
        <v>756</v>
      </c>
      <c r="F189" s="411"/>
      <c r="G189" s="402">
        <f>D189*F189</f>
        <v>0</v>
      </c>
    </row>
    <row r="190" spans="1:7" s="160" customFormat="1" ht="16.5" customHeight="1" x14ac:dyDescent="0.35">
      <c r="A190" s="398"/>
      <c r="B190" s="399"/>
      <c r="C190" s="400"/>
      <c r="D190" s="409"/>
      <c r="E190" s="401"/>
      <c r="F190" s="411"/>
      <c r="G190" s="402">
        <f t="shared" si="6"/>
        <v>0</v>
      </c>
    </row>
    <row r="191" spans="1:7" s="160" customFormat="1" ht="93" x14ac:dyDescent="0.35">
      <c r="A191" s="398"/>
      <c r="B191" s="399"/>
      <c r="C191" s="400" t="s">
        <v>802</v>
      </c>
      <c r="D191" s="409">
        <v>1</v>
      </c>
      <c r="E191" s="401" t="s">
        <v>756</v>
      </c>
      <c r="F191" s="411"/>
      <c r="G191" s="402">
        <f>D191*F191</f>
        <v>0</v>
      </c>
    </row>
    <row r="192" spans="1:7" s="160" customFormat="1" ht="16.5" customHeight="1" x14ac:dyDescent="0.35">
      <c r="A192" s="398"/>
      <c r="B192" s="399"/>
      <c r="C192" s="400"/>
      <c r="D192" s="409"/>
      <c r="E192" s="401"/>
      <c r="F192" s="411"/>
      <c r="G192" s="402">
        <f t="shared" si="6"/>
        <v>0</v>
      </c>
    </row>
    <row r="193" spans="1:7" s="160" customFormat="1" ht="69.75" x14ac:dyDescent="0.35">
      <c r="A193" s="398"/>
      <c r="B193" s="399"/>
      <c r="C193" s="400" t="s">
        <v>817</v>
      </c>
      <c r="D193" s="409">
        <v>6</v>
      </c>
      <c r="E193" s="401" t="s">
        <v>761</v>
      </c>
      <c r="F193" s="411"/>
      <c r="G193" s="402">
        <f>D193*F193</f>
        <v>0</v>
      </c>
    </row>
    <row r="194" spans="1:7" s="160" customFormat="1" ht="18" customHeight="1" x14ac:dyDescent="0.35">
      <c r="A194" s="398"/>
      <c r="B194" s="399"/>
      <c r="C194" s="400"/>
      <c r="D194" s="409"/>
      <c r="E194" s="401"/>
      <c r="F194" s="411"/>
      <c r="G194" s="402">
        <f t="shared" si="6"/>
        <v>0</v>
      </c>
    </row>
    <row r="195" spans="1:7" s="160" customFormat="1" ht="93" x14ac:dyDescent="0.35">
      <c r="A195" s="398"/>
      <c r="B195" s="399"/>
      <c r="C195" s="400" t="s">
        <v>892</v>
      </c>
      <c r="D195" s="409">
        <v>35</v>
      </c>
      <c r="E195" s="401" t="s">
        <v>468</v>
      </c>
      <c r="F195" s="411"/>
      <c r="G195" s="402">
        <f>D195*F195</f>
        <v>0</v>
      </c>
    </row>
    <row r="196" spans="1:7" s="160" customFormat="1" ht="19.5" customHeight="1" x14ac:dyDescent="0.35">
      <c r="A196" s="398"/>
      <c r="B196" s="399"/>
      <c r="C196" s="400"/>
      <c r="D196" s="409"/>
      <c r="E196" s="401"/>
      <c r="F196" s="411"/>
      <c r="G196" s="402">
        <f t="shared" si="6"/>
        <v>0</v>
      </c>
    </row>
    <row r="197" spans="1:7" s="160" customFormat="1" ht="69.75" x14ac:dyDescent="0.35">
      <c r="A197" s="398"/>
      <c r="B197" s="399"/>
      <c r="C197" s="400" t="s">
        <v>840</v>
      </c>
      <c r="D197" s="409">
        <v>340</v>
      </c>
      <c r="E197" s="401" t="s">
        <v>772</v>
      </c>
      <c r="F197" s="411"/>
      <c r="G197" s="402">
        <f>D197*F197</f>
        <v>0</v>
      </c>
    </row>
    <row r="198" spans="1:7" s="160" customFormat="1" ht="19.5" customHeight="1" x14ac:dyDescent="0.35">
      <c r="A198" s="398"/>
      <c r="B198" s="399"/>
      <c r="C198" s="400"/>
      <c r="D198" s="409"/>
      <c r="E198" s="401"/>
      <c r="F198" s="411"/>
      <c r="G198" s="402">
        <f t="shared" si="6"/>
        <v>0</v>
      </c>
    </row>
    <row r="199" spans="1:7" s="160" customFormat="1" ht="116.25" x14ac:dyDescent="0.35">
      <c r="A199" s="398"/>
      <c r="B199" s="399"/>
      <c r="C199" s="400" t="s">
        <v>839</v>
      </c>
      <c r="D199" s="409">
        <v>92</v>
      </c>
      <c r="E199" s="401" t="s">
        <v>772</v>
      </c>
      <c r="F199" s="411"/>
      <c r="G199" s="402">
        <f>D199*F199</f>
        <v>0</v>
      </c>
    </row>
    <row r="200" spans="1:7" s="160" customFormat="1" ht="18" customHeight="1" x14ac:dyDescent="0.35">
      <c r="A200" s="398"/>
      <c r="B200" s="399"/>
      <c r="C200" s="400"/>
      <c r="D200" s="409"/>
      <c r="E200" s="401"/>
      <c r="F200" s="411"/>
      <c r="G200" s="402">
        <f t="shared" si="6"/>
        <v>0</v>
      </c>
    </row>
    <row r="201" spans="1:7" s="160" customFormat="1" ht="139.5" x14ac:dyDescent="0.35">
      <c r="A201" s="398"/>
      <c r="B201" s="399"/>
      <c r="C201" s="400" t="s">
        <v>842</v>
      </c>
      <c r="D201" s="409">
        <v>6</v>
      </c>
      <c r="E201" s="401" t="s">
        <v>761</v>
      </c>
      <c r="F201" s="411"/>
      <c r="G201" s="402">
        <f>D201*F201</f>
        <v>0</v>
      </c>
    </row>
    <row r="202" spans="1:7" s="160" customFormat="1" ht="24" thickBot="1" x14ac:dyDescent="0.4">
      <c r="A202" s="398"/>
      <c r="B202" s="399"/>
      <c r="C202" s="400"/>
      <c r="D202" s="409"/>
      <c r="E202" s="401"/>
      <c r="F202" s="411"/>
      <c r="G202" s="402">
        <f t="shared" si="6"/>
        <v>0</v>
      </c>
    </row>
    <row r="203" spans="1:7" s="160" customFormat="1" ht="24" thickBot="1" x14ac:dyDescent="0.4">
      <c r="A203" s="398"/>
      <c r="B203" s="399"/>
      <c r="C203" s="404" t="s">
        <v>760</v>
      </c>
      <c r="D203" s="409"/>
      <c r="E203" s="401"/>
      <c r="F203" s="411"/>
      <c r="G203" s="405">
        <f>SUM(G184:G202)</f>
        <v>0</v>
      </c>
    </row>
    <row r="204" spans="1:7" s="160" customFormat="1" ht="24" thickBot="1" x14ac:dyDescent="0.4">
      <c r="A204" s="398"/>
      <c r="B204" s="399"/>
      <c r="C204" s="400"/>
      <c r="D204" s="409"/>
      <c r="E204" s="401"/>
      <c r="F204" s="411"/>
      <c r="G204" s="402">
        <f t="shared" si="6"/>
        <v>0</v>
      </c>
    </row>
    <row r="205" spans="1:7" ht="18.75" customHeight="1" x14ac:dyDescent="0.35">
      <c r="A205" s="383"/>
      <c r="B205" s="384"/>
      <c r="C205" s="385"/>
      <c r="D205" s="386"/>
      <c r="E205" s="387"/>
      <c r="F205" s="410"/>
      <c r="G205" s="387"/>
    </row>
    <row r="206" spans="1:7" s="160" customFormat="1" ht="18" customHeight="1" x14ac:dyDescent="0.35">
      <c r="A206" s="388"/>
      <c r="B206" s="389"/>
      <c r="C206" s="390"/>
      <c r="D206" s="391"/>
      <c r="E206" s="391"/>
      <c r="F206" s="393" t="s">
        <v>2</v>
      </c>
      <c r="G206" s="393"/>
    </row>
    <row r="207" spans="1:7" s="160" customFormat="1" ht="24" thickBot="1" x14ac:dyDescent="0.4">
      <c r="A207" s="394"/>
      <c r="B207" s="395"/>
      <c r="C207" s="396" t="s">
        <v>753</v>
      </c>
      <c r="D207" s="397" t="s">
        <v>3</v>
      </c>
      <c r="E207" s="397" t="s">
        <v>1</v>
      </c>
      <c r="F207" s="397" t="s">
        <v>4</v>
      </c>
      <c r="G207" s="397" t="s">
        <v>5</v>
      </c>
    </row>
    <row r="208" spans="1:7" s="160" customFormat="1" x14ac:dyDescent="0.35">
      <c r="A208" s="398"/>
      <c r="B208" s="399"/>
      <c r="C208" s="400"/>
      <c r="D208" s="409"/>
      <c r="E208" s="401"/>
      <c r="F208" s="411"/>
      <c r="G208" s="402">
        <f t="shared" ref="G208" si="8">ROUND(D208*F208,2)</f>
        <v>0</v>
      </c>
    </row>
    <row r="209" spans="1:7" s="160" customFormat="1" x14ac:dyDescent="0.35">
      <c r="A209" s="398"/>
      <c r="B209" s="399"/>
      <c r="C209" s="412" t="s">
        <v>803</v>
      </c>
      <c r="D209" s="409"/>
      <c r="E209" s="401"/>
      <c r="F209" s="411"/>
      <c r="G209" s="402">
        <f t="shared" si="6"/>
        <v>0</v>
      </c>
    </row>
    <row r="210" spans="1:7" s="160" customFormat="1" ht="18.75" customHeight="1" x14ac:dyDescent="0.35">
      <c r="A210" s="398"/>
      <c r="B210" s="399"/>
      <c r="C210" s="400"/>
      <c r="D210" s="409"/>
      <c r="E210" s="401"/>
      <c r="F210" s="411"/>
      <c r="G210" s="402">
        <f t="shared" si="6"/>
        <v>0</v>
      </c>
    </row>
    <row r="211" spans="1:7" s="160" customFormat="1" ht="69.75" x14ac:dyDescent="0.35">
      <c r="A211" s="398"/>
      <c r="B211" s="399"/>
      <c r="C211" s="400" t="s">
        <v>893</v>
      </c>
      <c r="D211" s="409">
        <v>54</v>
      </c>
      <c r="E211" s="401" t="s">
        <v>777</v>
      </c>
      <c r="F211" s="411"/>
      <c r="G211" s="402">
        <f>D211*F211</f>
        <v>0</v>
      </c>
    </row>
    <row r="212" spans="1:7" s="160" customFormat="1" ht="15.75" customHeight="1" x14ac:dyDescent="0.35">
      <c r="A212" s="398"/>
      <c r="B212" s="399"/>
      <c r="C212" s="400"/>
      <c r="D212" s="409"/>
      <c r="E212" s="401"/>
      <c r="F212" s="411"/>
      <c r="G212" s="402">
        <f t="shared" si="6"/>
        <v>0</v>
      </c>
    </row>
    <row r="213" spans="1:7" s="160" customFormat="1" ht="46.5" x14ac:dyDescent="0.35">
      <c r="A213" s="398"/>
      <c r="B213" s="399"/>
      <c r="C213" s="400" t="s">
        <v>804</v>
      </c>
      <c r="D213" s="409">
        <v>12</v>
      </c>
      <c r="E213" s="401" t="s">
        <v>777</v>
      </c>
      <c r="F213" s="411"/>
      <c r="G213" s="402">
        <f>D213*F213</f>
        <v>0</v>
      </c>
    </row>
    <row r="214" spans="1:7" s="160" customFormat="1" ht="15.75" customHeight="1" x14ac:dyDescent="0.35">
      <c r="A214" s="398"/>
      <c r="B214" s="399"/>
      <c r="C214" s="400"/>
      <c r="D214" s="409"/>
      <c r="E214" s="401"/>
      <c r="F214" s="411"/>
      <c r="G214" s="402">
        <f t="shared" si="6"/>
        <v>0</v>
      </c>
    </row>
    <row r="215" spans="1:7" s="160" customFormat="1" x14ac:dyDescent="0.35">
      <c r="A215" s="398"/>
      <c r="B215" s="399"/>
      <c r="C215" s="400" t="s">
        <v>805</v>
      </c>
      <c r="D215" s="409">
        <v>12</v>
      </c>
      <c r="E215" s="401" t="s">
        <v>777</v>
      </c>
      <c r="F215" s="411"/>
      <c r="G215" s="402">
        <f>D215*F215</f>
        <v>0</v>
      </c>
    </row>
    <row r="216" spans="1:7" s="160" customFormat="1" ht="16.5" customHeight="1" x14ac:dyDescent="0.35">
      <c r="A216" s="398"/>
      <c r="B216" s="399"/>
      <c r="C216" s="400"/>
      <c r="D216" s="409"/>
      <c r="E216" s="401"/>
      <c r="F216" s="411"/>
      <c r="G216" s="402">
        <f t="shared" ref="G216" si="9">ROUND(D216*F216,2)</f>
        <v>0</v>
      </c>
    </row>
    <row r="217" spans="1:7" s="160" customFormat="1" x14ac:dyDescent="0.35">
      <c r="A217" s="398"/>
      <c r="B217" s="399"/>
      <c r="C217" s="400" t="s">
        <v>806</v>
      </c>
      <c r="D217" s="409">
        <v>6</v>
      </c>
      <c r="E217" s="401" t="s">
        <v>777</v>
      </c>
      <c r="F217" s="411"/>
      <c r="G217" s="402">
        <f>D217*F217</f>
        <v>0</v>
      </c>
    </row>
    <row r="218" spans="1:7" s="160" customFormat="1" ht="18.75" customHeight="1" x14ac:dyDescent="0.35">
      <c r="A218" s="398"/>
      <c r="B218" s="399"/>
      <c r="C218" s="400"/>
      <c r="D218" s="409"/>
      <c r="E218" s="401"/>
      <c r="F218" s="411"/>
      <c r="G218" s="402">
        <f t="shared" ref="G218:G226" si="10">ROUND(D218*F218,2)</f>
        <v>0</v>
      </c>
    </row>
    <row r="219" spans="1:7" s="160" customFormat="1" x14ac:dyDescent="0.35">
      <c r="A219" s="398"/>
      <c r="B219" s="399"/>
      <c r="C219" s="400" t="s">
        <v>807</v>
      </c>
      <c r="D219" s="409">
        <v>12</v>
      </c>
      <c r="E219" s="401" t="s">
        <v>777</v>
      </c>
      <c r="F219" s="411"/>
      <c r="G219" s="402">
        <f>D219*F219</f>
        <v>0</v>
      </c>
    </row>
    <row r="220" spans="1:7" s="160" customFormat="1" ht="15" customHeight="1" x14ac:dyDescent="0.35">
      <c r="A220" s="398"/>
      <c r="B220" s="399"/>
      <c r="C220" s="400"/>
      <c r="D220" s="409"/>
      <c r="E220" s="401"/>
      <c r="F220" s="411"/>
      <c r="G220" s="402">
        <f t="shared" si="10"/>
        <v>0</v>
      </c>
    </row>
    <row r="221" spans="1:7" s="160" customFormat="1" ht="69.75" x14ac:dyDescent="0.35">
      <c r="A221" s="398"/>
      <c r="B221" s="399"/>
      <c r="C221" s="400" t="s">
        <v>816</v>
      </c>
      <c r="D221" s="409">
        <v>6</v>
      </c>
      <c r="E221" s="401" t="s">
        <v>777</v>
      </c>
      <c r="F221" s="411"/>
      <c r="G221" s="402">
        <f>D221*F221</f>
        <v>0</v>
      </c>
    </row>
    <row r="222" spans="1:7" s="160" customFormat="1" ht="16.5" customHeight="1" x14ac:dyDescent="0.35">
      <c r="A222" s="398"/>
      <c r="B222" s="399"/>
      <c r="C222" s="400"/>
      <c r="D222" s="409"/>
      <c r="E222" s="401"/>
      <c r="F222" s="411"/>
      <c r="G222" s="402">
        <f t="shared" si="10"/>
        <v>0</v>
      </c>
    </row>
    <row r="223" spans="1:7" s="160" customFormat="1" ht="69.75" x14ac:dyDescent="0.35">
      <c r="A223" s="398"/>
      <c r="B223" s="399"/>
      <c r="C223" s="400" t="s">
        <v>808</v>
      </c>
      <c r="D223" s="409">
        <v>6</v>
      </c>
      <c r="E223" s="401" t="s">
        <v>777</v>
      </c>
      <c r="F223" s="411"/>
      <c r="G223" s="402">
        <f>D223*F223</f>
        <v>0</v>
      </c>
    </row>
    <row r="224" spans="1:7" s="160" customFormat="1" ht="15.75" customHeight="1" x14ac:dyDescent="0.35">
      <c r="A224" s="398"/>
      <c r="B224" s="399"/>
      <c r="C224" s="400"/>
      <c r="D224" s="409"/>
      <c r="E224" s="401"/>
      <c r="F224" s="411"/>
      <c r="G224" s="402">
        <f t="shared" si="10"/>
        <v>0</v>
      </c>
    </row>
    <row r="225" spans="1:7" s="160" customFormat="1" ht="46.5" x14ac:dyDescent="0.35">
      <c r="A225" s="398"/>
      <c r="B225" s="399"/>
      <c r="C225" s="400" t="s">
        <v>809</v>
      </c>
      <c r="D225" s="409">
        <v>6</v>
      </c>
      <c r="E225" s="401" t="s">
        <v>810</v>
      </c>
      <c r="F225" s="411"/>
      <c r="G225" s="402">
        <f>D225*F225</f>
        <v>0</v>
      </c>
    </row>
    <row r="226" spans="1:7" s="160" customFormat="1" ht="15" customHeight="1" x14ac:dyDescent="0.35">
      <c r="A226" s="398"/>
      <c r="B226" s="399"/>
      <c r="C226" s="400"/>
      <c r="D226" s="409"/>
      <c r="E226" s="401"/>
      <c r="F226" s="411"/>
      <c r="G226" s="402">
        <f t="shared" si="10"/>
        <v>0</v>
      </c>
    </row>
    <row r="227" spans="1:7" ht="46.5" x14ac:dyDescent="0.35">
      <c r="C227" s="400" t="s">
        <v>812</v>
      </c>
      <c r="D227" s="409">
        <v>6</v>
      </c>
      <c r="E227" s="401" t="s">
        <v>777</v>
      </c>
      <c r="G227" s="402">
        <f>D227*F227</f>
        <v>0</v>
      </c>
    </row>
    <row r="228" spans="1:7" s="160" customFormat="1" ht="15.75" customHeight="1" x14ac:dyDescent="0.35">
      <c r="A228" s="398"/>
      <c r="B228" s="399"/>
      <c r="C228" s="400"/>
      <c r="D228" s="409"/>
      <c r="E228" s="401"/>
      <c r="F228" s="411"/>
      <c r="G228" s="402">
        <f t="shared" ref="G228" si="11">ROUND(D228*F228,2)</f>
        <v>0</v>
      </c>
    </row>
    <row r="229" spans="1:7" ht="46.5" x14ac:dyDescent="0.35">
      <c r="C229" s="400" t="s">
        <v>813</v>
      </c>
      <c r="D229" s="393">
        <v>12</v>
      </c>
      <c r="E229" s="401" t="s">
        <v>777</v>
      </c>
      <c r="G229" s="402">
        <f>D229*F229</f>
        <v>0</v>
      </c>
    </row>
    <row r="230" spans="1:7" s="160" customFormat="1" ht="15.75" customHeight="1" x14ac:dyDescent="0.35">
      <c r="A230" s="398"/>
      <c r="B230" s="399"/>
      <c r="C230" s="400"/>
      <c r="D230" s="409"/>
      <c r="E230" s="401"/>
      <c r="F230" s="411"/>
      <c r="G230" s="402">
        <f t="shared" ref="G230" si="12">ROUND(D230*F230,2)</f>
        <v>0</v>
      </c>
    </row>
    <row r="231" spans="1:7" ht="46.5" x14ac:dyDescent="0.35">
      <c r="C231" s="400" t="s">
        <v>811</v>
      </c>
      <c r="D231" s="393">
        <v>12</v>
      </c>
      <c r="E231" s="401" t="s">
        <v>777</v>
      </c>
      <c r="G231" s="402">
        <f>D231*F231</f>
        <v>0</v>
      </c>
    </row>
    <row r="232" spans="1:7" s="160" customFormat="1" x14ac:dyDescent="0.35">
      <c r="A232" s="398"/>
      <c r="B232" s="399"/>
      <c r="C232" s="400"/>
      <c r="D232" s="409"/>
      <c r="E232" s="401"/>
      <c r="F232" s="411"/>
      <c r="G232" s="402">
        <f t="shared" ref="G232" si="13">ROUND(D232*F232,2)</f>
        <v>0</v>
      </c>
    </row>
    <row r="233" spans="1:7" ht="46.5" x14ac:dyDescent="0.35">
      <c r="C233" s="400" t="s">
        <v>814</v>
      </c>
      <c r="D233" s="393">
        <v>6</v>
      </c>
      <c r="E233" s="401" t="s">
        <v>777</v>
      </c>
      <c r="G233" s="402">
        <f>D233*F233</f>
        <v>0</v>
      </c>
    </row>
    <row r="234" spans="1:7" s="160" customFormat="1" x14ac:dyDescent="0.35">
      <c r="A234" s="398"/>
      <c r="B234" s="399"/>
      <c r="C234" s="400"/>
      <c r="D234" s="409"/>
      <c r="E234" s="401"/>
      <c r="F234" s="411"/>
      <c r="G234" s="402">
        <f t="shared" ref="G234" si="14">ROUND(D234*F234,2)</f>
        <v>0</v>
      </c>
    </row>
    <row r="235" spans="1:7" ht="46.5" x14ac:dyDescent="0.35">
      <c r="C235" s="400" t="s">
        <v>815</v>
      </c>
      <c r="D235" s="393">
        <v>6</v>
      </c>
      <c r="E235" s="401" t="s">
        <v>777</v>
      </c>
      <c r="G235" s="402">
        <f>D235*F235</f>
        <v>0</v>
      </c>
    </row>
    <row r="236" spans="1:7" s="160" customFormat="1" x14ac:dyDescent="0.35">
      <c r="A236" s="398"/>
      <c r="B236" s="399"/>
      <c r="C236" s="400"/>
      <c r="D236" s="409"/>
      <c r="E236" s="401"/>
      <c r="F236" s="411"/>
      <c r="G236" s="402">
        <f t="shared" ref="G236" si="15">ROUND(D236*F236,2)</f>
        <v>0</v>
      </c>
    </row>
    <row r="237" spans="1:7" s="160" customFormat="1" ht="116.25" x14ac:dyDescent="0.35">
      <c r="A237" s="398"/>
      <c r="B237" s="399"/>
      <c r="C237" s="400" t="s">
        <v>937</v>
      </c>
      <c r="D237" s="409">
        <v>6</v>
      </c>
      <c r="E237" s="401" t="s">
        <v>761</v>
      </c>
      <c r="F237" s="411"/>
      <c r="G237" s="402">
        <f>D237*F237</f>
        <v>0</v>
      </c>
    </row>
    <row r="238" spans="1:7" s="160" customFormat="1" x14ac:dyDescent="0.35">
      <c r="A238" s="398"/>
      <c r="B238" s="399"/>
      <c r="C238" s="400"/>
      <c r="D238" s="409"/>
      <c r="E238" s="401"/>
      <c r="F238" s="411"/>
      <c r="G238" s="402">
        <f t="shared" ref="G238:G247" si="16">ROUND(D238*F238,2)</f>
        <v>0</v>
      </c>
    </row>
    <row r="239" spans="1:7" s="160" customFormat="1" ht="46.5" x14ac:dyDescent="0.35">
      <c r="A239" s="398"/>
      <c r="B239" s="399"/>
      <c r="C239" s="400" t="s">
        <v>822</v>
      </c>
      <c r="D239" s="409">
        <v>42</v>
      </c>
      <c r="E239" s="401" t="s">
        <v>761</v>
      </c>
      <c r="F239" s="411"/>
      <c r="G239" s="402">
        <f>D239*F239</f>
        <v>0</v>
      </c>
    </row>
    <row r="240" spans="1:7" s="160" customFormat="1" ht="24" thickBot="1" x14ac:dyDescent="0.4">
      <c r="A240" s="398"/>
      <c r="B240" s="399"/>
      <c r="C240" s="400"/>
      <c r="D240" s="409"/>
      <c r="E240" s="401"/>
      <c r="F240" s="411"/>
      <c r="G240" s="402">
        <f t="shared" si="16"/>
        <v>0</v>
      </c>
    </row>
    <row r="241" spans="1:7" s="160" customFormat="1" ht="24" thickBot="1" x14ac:dyDescent="0.4">
      <c r="A241" s="398"/>
      <c r="B241" s="399"/>
      <c r="C241" s="404" t="s">
        <v>760</v>
      </c>
      <c r="D241" s="409"/>
      <c r="E241" s="401"/>
      <c r="F241" s="411"/>
      <c r="G241" s="405">
        <f>SUM(G210:G240)</f>
        <v>0</v>
      </c>
    </row>
    <row r="242" spans="1:7" ht="18.75" customHeight="1" x14ac:dyDescent="0.35">
      <c r="A242" s="383"/>
      <c r="B242" s="384"/>
      <c r="C242" s="385"/>
      <c r="D242" s="386"/>
      <c r="E242" s="387"/>
      <c r="F242" s="410"/>
      <c r="G242" s="387"/>
    </row>
    <row r="243" spans="1:7" s="160" customFormat="1" x14ac:dyDescent="0.35">
      <c r="A243" s="388"/>
      <c r="B243" s="389"/>
      <c r="C243" s="390"/>
      <c r="D243" s="391"/>
      <c r="E243" s="391"/>
      <c r="F243" s="393" t="s">
        <v>2</v>
      </c>
      <c r="G243" s="393"/>
    </row>
    <row r="244" spans="1:7" s="160" customFormat="1" ht="24" thickBot="1" x14ac:dyDescent="0.4">
      <c r="A244" s="394"/>
      <c r="B244" s="395"/>
      <c r="C244" s="396" t="s">
        <v>753</v>
      </c>
      <c r="D244" s="397" t="s">
        <v>3</v>
      </c>
      <c r="E244" s="397" t="s">
        <v>1</v>
      </c>
      <c r="F244" s="397" t="s">
        <v>4</v>
      </c>
      <c r="G244" s="397" t="s">
        <v>5</v>
      </c>
    </row>
    <row r="245" spans="1:7" s="160" customFormat="1" ht="18" customHeight="1" x14ac:dyDescent="0.35">
      <c r="A245" s="398"/>
      <c r="B245" s="399"/>
      <c r="C245" s="400"/>
      <c r="D245" s="409"/>
      <c r="E245" s="401"/>
      <c r="F245" s="411"/>
      <c r="G245" s="402">
        <f t="shared" si="16"/>
        <v>0</v>
      </c>
    </row>
    <row r="246" spans="1:7" s="160" customFormat="1" x14ac:dyDescent="0.35">
      <c r="A246" s="398"/>
      <c r="B246" s="399"/>
      <c r="C246" s="412" t="s">
        <v>821</v>
      </c>
      <c r="D246" s="409"/>
      <c r="E246" s="401"/>
      <c r="F246" s="411"/>
      <c r="G246" s="402">
        <f t="shared" si="16"/>
        <v>0</v>
      </c>
    </row>
    <row r="247" spans="1:7" s="160" customFormat="1" x14ac:dyDescent="0.35">
      <c r="A247" s="398"/>
      <c r="B247" s="399"/>
      <c r="C247" s="400"/>
      <c r="D247" s="409"/>
      <c r="E247" s="401"/>
      <c r="F247" s="411"/>
      <c r="G247" s="402">
        <f t="shared" si="16"/>
        <v>0</v>
      </c>
    </row>
    <row r="248" spans="1:7" s="160" customFormat="1" ht="46.5" x14ac:dyDescent="0.35">
      <c r="A248" s="398"/>
      <c r="B248" s="399"/>
      <c r="C248" s="400" t="s">
        <v>848</v>
      </c>
      <c r="D248" s="409">
        <v>30</v>
      </c>
      <c r="E248" s="401" t="s">
        <v>777</v>
      </c>
      <c r="F248" s="411"/>
      <c r="G248" s="402">
        <f>D248*F248</f>
        <v>0</v>
      </c>
    </row>
    <row r="249" spans="1:7" s="160" customFormat="1" x14ac:dyDescent="0.35">
      <c r="A249" s="398"/>
      <c r="B249" s="399"/>
      <c r="C249" s="400"/>
      <c r="D249" s="409"/>
      <c r="E249" s="401"/>
      <c r="F249" s="411"/>
      <c r="G249" s="402">
        <f t="shared" ref="G249" si="17">ROUND(D249*F249,2)</f>
        <v>0</v>
      </c>
    </row>
    <row r="250" spans="1:7" s="160" customFormat="1" ht="69.75" x14ac:dyDescent="0.35">
      <c r="A250" s="398"/>
      <c r="B250" s="399"/>
      <c r="C250" s="400" t="s">
        <v>823</v>
      </c>
      <c r="D250" s="409">
        <v>6</v>
      </c>
      <c r="E250" s="401" t="s">
        <v>824</v>
      </c>
      <c r="F250" s="411"/>
      <c r="G250" s="402">
        <f>D250*F250</f>
        <v>0</v>
      </c>
    </row>
    <row r="251" spans="1:7" s="160" customFormat="1" x14ac:dyDescent="0.35">
      <c r="A251" s="398"/>
      <c r="B251" s="399"/>
      <c r="C251" s="400"/>
      <c r="D251" s="409"/>
      <c r="E251" s="401"/>
      <c r="F251" s="411"/>
      <c r="G251" s="402">
        <f t="shared" ref="G251:G258" si="18">ROUND(D251*F251,2)</f>
        <v>0</v>
      </c>
    </row>
    <row r="252" spans="1:7" s="160" customFormat="1" x14ac:dyDescent="0.35">
      <c r="A252" s="398"/>
      <c r="B252" s="399"/>
      <c r="C252" s="400"/>
      <c r="D252" s="409"/>
      <c r="E252" s="401"/>
      <c r="F252" s="411"/>
      <c r="G252" s="402">
        <f t="shared" si="18"/>
        <v>0</v>
      </c>
    </row>
    <row r="253" spans="1:7" s="160" customFormat="1" ht="162.75" x14ac:dyDescent="0.35">
      <c r="A253" s="398"/>
      <c r="B253" s="399"/>
      <c r="C253" s="400" t="s">
        <v>841</v>
      </c>
      <c r="D253" s="409">
        <v>24</v>
      </c>
      <c r="E253" s="401" t="s">
        <v>761</v>
      </c>
      <c r="F253" s="411"/>
      <c r="G253" s="402">
        <f>D253*F253</f>
        <v>0</v>
      </c>
    </row>
    <row r="254" spans="1:7" s="160" customFormat="1" ht="24" thickBot="1" x14ac:dyDescent="0.4">
      <c r="A254" s="398"/>
      <c r="B254" s="399"/>
      <c r="C254" s="400"/>
      <c r="D254" s="409"/>
      <c r="E254" s="401"/>
      <c r="F254" s="411"/>
      <c r="G254" s="402">
        <f t="shared" si="18"/>
        <v>0</v>
      </c>
    </row>
    <row r="255" spans="1:7" s="160" customFormat="1" ht="93.75" thickBot="1" x14ac:dyDescent="0.4">
      <c r="A255" s="398"/>
      <c r="B255" s="399"/>
      <c r="C255" s="400" t="s">
        <v>950</v>
      </c>
      <c r="D255" s="409">
        <v>1</v>
      </c>
      <c r="E255" s="401" t="s">
        <v>819</v>
      </c>
      <c r="F255" s="411"/>
      <c r="G255" s="433">
        <f>D255*F255</f>
        <v>0</v>
      </c>
    </row>
    <row r="256" spans="1:7" s="160" customFormat="1" ht="24" thickBot="1" x14ac:dyDescent="0.4">
      <c r="A256" s="398"/>
      <c r="B256" s="399"/>
      <c r="C256" s="400"/>
      <c r="D256" s="409"/>
      <c r="E256" s="401"/>
      <c r="F256" s="411"/>
      <c r="G256" s="402">
        <f t="shared" si="18"/>
        <v>0</v>
      </c>
    </row>
    <row r="257" spans="1:7" s="160" customFormat="1" ht="47.25" thickBot="1" x14ac:dyDescent="0.4">
      <c r="A257" s="398"/>
      <c r="B257" s="399"/>
      <c r="C257" s="400" t="s">
        <v>954</v>
      </c>
      <c r="D257" s="409">
        <v>1</v>
      </c>
      <c r="E257" s="401" t="s">
        <v>819</v>
      </c>
      <c r="F257" s="411"/>
      <c r="G257" s="433">
        <f>D257*F257</f>
        <v>0</v>
      </c>
    </row>
    <row r="258" spans="1:7" s="160" customFormat="1" ht="24" thickBot="1" x14ac:dyDescent="0.4">
      <c r="A258" s="398"/>
      <c r="B258" s="399"/>
      <c r="C258" s="400"/>
      <c r="D258" s="409"/>
      <c r="E258" s="401"/>
      <c r="F258" s="411"/>
      <c r="G258" s="402">
        <f t="shared" si="18"/>
        <v>0</v>
      </c>
    </row>
    <row r="259" spans="1:7" s="160" customFormat="1" ht="70.5" thickBot="1" x14ac:dyDescent="0.4">
      <c r="A259" s="398"/>
      <c r="B259" s="399"/>
      <c r="C259" s="400" t="s">
        <v>818</v>
      </c>
      <c r="D259" s="409">
        <v>1</v>
      </c>
      <c r="E259" s="401" t="s">
        <v>756</v>
      </c>
      <c r="F259" s="411"/>
      <c r="G259" s="433">
        <f>D259*F259</f>
        <v>0</v>
      </c>
    </row>
    <row r="260" spans="1:7" s="160" customFormat="1" x14ac:dyDescent="0.35">
      <c r="A260" s="398"/>
      <c r="B260" s="399"/>
      <c r="C260" s="400"/>
      <c r="D260" s="409"/>
      <c r="E260" s="401"/>
      <c r="F260" s="411"/>
      <c r="G260" s="402">
        <f t="shared" ref="G260:G322" si="19">ROUND(D260*F260,2)</f>
        <v>0</v>
      </c>
    </row>
    <row r="261" spans="1:7" s="160" customFormat="1" x14ac:dyDescent="0.35">
      <c r="A261" s="398"/>
      <c r="B261" s="399"/>
      <c r="C261" s="400"/>
      <c r="D261" s="409"/>
      <c r="E261" s="401"/>
      <c r="F261" s="411"/>
      <c r="G261" s="402">
        <f t="shared" si="19"/>
        <v>0</v>
      </c>
    </row>
    <row r="262" spans="1:7" s="160" customFormat="1" x14ac:dyDescent="0.35">
      <c r="A262" s="398"/>
      <c r="B262" s="399"/>
      <c r="C262" s="400"/>
      <c r="D262" s="409"/>
      <c r="E262" s="401"/>
      <c r="F262" s="411"/>
      <c r="G262" s="402">
        <f t="shared" si="19"/>
        <v>0</v>
      </c>
    </row>
    <row r="263" spans="1:7" s="160" customFormat="1" x14ac:dyDescent="0.35">
      <c r="A263" s="398"/>
      <c r="B263" s="399"/>
      <c r="C263" s="400"/>
      <c r="D263" s="409"/>
      <c r="E263" s="401"/>
      <c r="F263" s="411"/>
      <c r="G263" s="402">
        <f t="shared" si="19"/>
        <v>0</v>
      </c>
    </row>
    <row r="264" spans="1:7" s="160" customFormat="1" x14ac:dyDescent="0.35">
      <c r="A264" s="398"/>
      <c r="B264" s="399"/>
      <c r="C264" s="400"/>
      <c r="D264" s="409"/>
      <c r="E264" s="401"/>
      <c r="F264" s="411"/>
      <c r="G264" s="402">
        <f t="shared" si="19"/>
        <v>0</v>
      </c>
    </row>
    <row r="265" spans="1:7" s="160" customFormat="1" x14ac:dyDescent="0.35">
      <c r="A265" s="398"/>
      <c r="B265" s="399"/>
      <c r="C265" s="400"/>
      <c r="D265" s="409"/>
      <c r="E265" s="401"/>
      <c r="F265" s="411"/>
      <c r="G265" s="402">
        <f t="shared" si="19"/>
        <v>0</v>
      </c>
    </row>
    <row r="266" spans="1:7" s="160" customFormat="1" x14ac:dyDescent="0.35">
      <c r="A266" s="398"/>
      <c r="B266" s="399"/>
      <c r="C266" s="400"/>
      <c r="D266" s="409"/>
      <c r="E266" s="401"/>
      <c r="F266" s="411"/>
      <c r="G266" s="402">
        <f t="shared" si="19"/>
        <v>0</v>
      </c>
    </row>
    <row r="267" spans="1:7" s="160" customFormat="1" x14ac:dyDescent="0.35">
      <c r="A267" s="398"/>
      <c r="B267" s="399"/>
      <c r="C267" s="400"/>
      <c r="D267" s="409"/>
      <c r="E267" s="401"/>
      <c r="F267" s="411"/>
      <c r="G267" s="402">
        <f t="shared" si="19"/>
        <v>0</v>
      </c>
    </row>
    <row r="268" spans="1:7" s="160" customFormat="1" x14ac:dyDescent="0.35">
      <c r="A268" s="398"/>
      <c r="B268" s="399"/>
      <c r="C268" s="400"/>
      <c r="D268" s="409"/>
      <c r="E268" s="401"/>
      <c r="F268" s="411"/>
      <c r="G268" s="402">
        <f t="shared" si="19"/>
        <v>0</v>
      </c>
    </row>
    <row r="269" spans="1:7" s="160" customFormat="1" x14ac:dyDescent="0.35">
      <c r="A269" s="398"/>
      <c r="B269" s="399"/>
      <c r="C269" s="400"/>
      <c r="D269" s="409"/>
      <c r="E269" s="401"/>
      <c r="F269" s="411"/>
      <c r="G269" s="402">
        <f t="shared" si="19"/>
        <v>0</v>
      </c>
    </row>
    <row r="270" spans="1:7" s="160" customFormat="1" x14ac:dyDescent="0.35">
      <c r="A270" s="398"/>
      <c r="B270" s="399"/>
      <c r="C270" s="400"/>
      <c r="D270" s="409"/>
      <c r="E270" s="401"/>
      <c r="F270" s="411"/>
      <c r="G270" s="402">
        <f t="shared" si="19"/>
        <v>0</v>
      </c>
    </row>
    <row r="271" spans="1:7" s="160" customFormat="1" x14ac:dyDescent="0.35">
      <c r="A271" s="398"/>
      <c r="B271" s="399"/>
      <c r="C271" s="400"/>
      <c r="D271" s="409"/>
      <c r="E271" s="401"/>
      <c r="F271" s="411"/>
      <c r="G271" s="402">
        <f t="shared" si="19"/>
        <v>0</v>
      </c>
    </row>
    <row r="272" spans="1:7" s="160" customFormat="1" x14ac:dyDescent="0.35">
      <c r="A272" s="398"/>
      <c r="B272" s="399"/>
      <c r="C272" s="400"/>
      <c r="D272" s="409"/>
      <c r="E272" s="401"/>
      <c r="F272" s="411"/>
      <c r="G272" s="402">
        <f t="shared" si="19"/>
        <v>0</v>
      </c>
    </row>
    <row r="273" spans="1:7" s="160" customFormat="1" ht="24" thickBot="1" x14ac:dyDescent="0.4">
      <c r="A273" s="398"/>
      <c r="B273" s="399"/>
      <c r="C273" s="400"/>
      <c r="D273" s="409"/>
      <c r="E273" s="401"/>
      <c r="F273" s="411"/>
      <c r="G273" s="402">
        <f t="shared" si="19"/>
        <v>0</v>
      </c>
    </row>
    <row r="274" spans="1:7" s="160" customFormat="1" ht="24" thickBot="1" x14ac:dyDescent="0.4">
      <c r="A274" s="398"/>
      <c r="B274" s="399"/>
      <c r="C274" s="404" t="s">
        <v>760</v>
      </c>
      <c r="D274" s="409"/>
      <c r="E274" s="401"/>
      <c r="F274" s="411"/>
      <c r="G274" s="405">
        <f>SUM(G246:G273)</f>
        <v>0</v>
      </c>
    </row>
    <row r="275" spans="1:7" s="160" customFormat="1" x14ac:dyDescent="0.35">
      <c r="A275" s="398"/>
      <c r="B275" s="399"/>
      <c r="C275" s="400"/>
      <c r="D275" s="409"/>
      <c r="E275" s="401"/>
      <c r="F275" s="411"/>
      <c r="G275" s="402">
        <f t="shared" si="19"/>
        <v>0</v>
      </c>
    </row>
    <row r="276" spans="1:7" s="160" customFormat="1" x14ac:dyDescent="0.35">
      <c r="A276" s="398"/>
      <c r="B276" s="399"/>
      <c r="C276" s="400"/>
      <c r="D276" s="409"/>
      <c r="E276" s="401"/>
      <c r="F276" s="411"/>
      <c r="G276" s="402">
        <f t="shared" si="19"/>
        <v>0</v>
      </c>
    </row>
    <row r="277" spans="1:7" s="160" customFormat="1" x14ac:dyDescent="0.35">
      <c r="A277" s="398"/>
      <c r="B277" s="399"/>
      <c r="C277" s="400"/>
      <c r="D277" s="409"/>
      <c r="E277" s="401"/>
      <c r="F277" s="411"/>
      <c r="G277" s="402">
        <f t="shared" si="19"/>
        <v>0</v>
      </c>
    </row>
    <row r="278" spans="1:7" s="160" customFormat="1" ht="24" thickBot="1" x14ac:dyDescent="0.4">
      <c r="A278" s="398"/>
      <c r="B278" s="399"/>
      <c r="C278" s="400"/>
      <c r="D278" s="409"/>
      <c r="E278" s="401"/>
      <c r="F278" s="411"/>
      <c r="G278" s="402">
        <f t="shared" si="19"/>
        <v>0</v>
      </c>
    </row>
    <row r="279" spans="1:7" ht="18.75" customHeight="1" x14ac:dyDescent="0.35">
      <c r="A279" s="383"/>
      <c r="B279" s="384"/>
      <c r="C279" s="385"/>
      <c r="D279" s="386"/>
      <c r="E279" s="387"/>
      <c r="F279" s="410"/>
      <c r="G279" s="387"/>
    </row>
    <row r="280" spans="1:7" s="160" customFormat="1" x14ac:dyDescent="0.35">
      <c r="A280" s="388"/>
      <c r="B280" s="389"/>
      <c r="C280" s="390"/>
      <c r="D280" s="391"/>
      <c r="E280" s="391"/>
      <c r="F280" s="393" t="s">
        <v>2</v>
      </c>
      <c r="G280" s="393"/>
    </row>
    <row r="281" spans="1:7" s="160" customFormat="1" ht="24" thickBot="1" x14ac:dyDescent="0.4">
      <c r="A281" s="394"/>
      <c r="B281" s="395"/>
      <c r="C281" s="396" t="s">
        <v>753</v>
      </c>
      <c r="D281" s="397" t="s">
        <v>3</v>
      </c>
      <c r="E281" s="397" t="s">
        <v>1</v>
      </c>
      <c r="F281" s="397" t="s">
        <v>4</v>
      </c>
      <c r="G281" s="397" t="s">
        <v>5</v>
      </c>
    </row>
    <row r="282" spans="1:7" s="160" customFormat="1" ht="18" customHeight="1" x14ac:dyDescent="0.35">
      <c r="A282" s="398"/>
      <c r="B282" s="399"/>
      <c r="C282" s="400"/>
      <c r="D282" s="409"/>
      <c r="E282" s="401"/>
      <c r="F282" s="411"/>
      <c r="G282" s="402">
        <f t="shared" ref="G282:G283" si="20">ROUND(D282*F282,2)</f>
        <v>0</v>
      </c>
    </row>
    <row r="283" spans="1:7" s="160" customFormat="1" x14ac:dyDescent="0.35">
      <c r="A283" s="398"/>
      <c r="B283" s="399"/>
      <c r="C283" s="412" t="s">
        <v>820</v>
      </c>
      <c r="D283" s="409"/>
      <c r="E283" s="401"/>
      <c r="F283" s="411"/>
      <c r="G283" s="402">
        <f t="shared" si="20"/>
        <v>0</v>
      </c>
    </row>
    <row r="284" spans="1:7" s="160" customFormat="1" x14ac:dyDescent="0.35">
      <c r="A284" s="398"/>
      <c r="B284" s="399"/>
      <c r="C284" s="400"/>
      <c r="D284" s="409"/>
      <c r="E284" s="401"/>
      <c r="F284" s="411"/>
      <c r="G284" s="402">
        <f t="shared" si="19"/>
        <v>0</v>
      </c>
    </row>
    <row r="285" spans="1:7" s="160" customFormat="1" ht="24" thickBot="1" x14ac:dyDescent="0.4">
      <c r="A285" s="398"/>
      <c r="B285" s="399"/>
      <c r="C285" s="400"/>
      <c r="D285" s="409"/>
      <c r="E285" s="401"/>
      <c r="F285" s="411"/>
      <c r="G285" s="402">
        <f>D285*F285</f>
        <v>0</v>
      </c>
    </row>
    <row r="286" spans="1:7" s="160" customFormat="1" ht="47.25" thickBot="1" x14ac:dyDescent="0.4">
      <c r="A286" s="398"/>
      <c r="B286" s="399"/>
      <c r="C286" s="400" t="s">
        <v>952</v>
      </c>
      <c r="D286" s="409">
        <v>1</v>
      </c>
      <c r="E286" s="401" t="s">
        <v>756</v>
      </c>
      <c r="F286" s="411"/>
      <c r="G286" s="433">
        <f t="shared" ref="G286:G290" si="21">D286*F286</f>
        <v>0</v>
      </c>
    </row>
    <row r="287" spans="1:7" s="160" customFormat="1" x14ac:dyDescent="0.35">
      <c r="A287" s="398"/>
      <c r="B287" s="399"/>
      <c r="C287" s="400"/>
      <c r="D287" s="409"/>
      <c r="E287" s="401"/>
      <c r="F287" s="411"/>
      <c r="G287" s="402">
        <f t="shared" si="21"/>
        <v>0</v>
      </c>
    </row>
    <row r="288" spans="1:7" s="160" customFormat="1" x14ac:dyDescent="0.35">
      <c r="A288" s="398"/>
      <c r="B288" s="399"/>
      <c r="C288" s="400"/>
      <c r="D288" s="409"/>
      <c r="E288" s="401"/>
      <c r="F288" s="411"/>
      <c r="G288" s="402">
        <f t="shared" si="21"/>
        <v>0</v>
      </c>
    </row>
    <row r="289" spans="1:7" s="160" customFormat="1" x14ac:dyDescent="0.35">
      <c r="A289" s="398"/>
      <c r="B289" s="399"/>
      <c r="C289" s="400"/>
      <c r="D289" s="409"/>
      <c r="E289" s="401"/>
      <c r="F289" s="411"/>
      <c r="G289" s="402">
        <f t="shared" si="21"/>
        <v>0</v>
      </c>
    </row>
    <row r="290" spans="1:7" s="160" customFormat="1" x14ac:dyDescent="0.35">
      <c r="A290" s="398"/>
      <c r="B290" s="399"/>
      <c r="C290" s="400" t="s">
        <v>949</v>
      </c>
      <c r="D290" s="409">
        <v>1</v>
      </c>
      <c r="E290" s="401" t="s">
        <v>756</v>
      </c>
      <c r="F290" s="411"/>
      <c r="G290" s="402">
        <f t="shared" si="21"/>
        <v>0</v>
      </c>
    </row>
    <row r="291" spans="1:7" s="160" customFormat="1" x14ac:dyDescent="0.35">
      <c r="A291" s="398"/>
      <c r="B291" s="399"/>
      <c r="C291" s="400"/>
      <c r="D291" s="409"/>
      <c r="E291" s="401"/>
      <c r="F291" s="411"/>
      <c r="G291" s="402">
        <f t="shared" ref="G291:G295" si="22">D291*F291</f>
        <v>0</v>
      </c>
    </row>
    <row r="292" spans="1:7" s="160" customFormat="1" x14ac:dyDescent="0.35">
      <c r="A292" s="398"/>
      <c r="B292" s="399"/>
      <c r="C292" s="400"/>
      <c r="D292" s="409"/>
      <c r="E292" s="401"/>
      <c r="F292" s="411"/>
      <c r="G292" s="402">
        <f t="shared" si="22"/>
        <v>0</v>
      </c>
    </row>
    <row r="293" spans="1:7" s="160" customFormat="1" x14ac:dyDescent="0.35">
      <c r="A293" s="398"/>
      <c r="B293" s="399"/>
      <c r="C293" s="400"/>
      <c r="D293" s="409"/>
      <c r="E293" s="401"/>
      <c r="F293" s="411"/>
      <c r="G293" s="402">
        <f t="shared" si="22"/>
        <v>0</v>
      </c>
    </row>
    <row r="294" spans="1:7" s="160" customFormat="1" x14ac:dyDescent="0.35">
      <c r="A294" s="398"/>
      <c r="B294" s="399"/>
      <c r="C294" s="400"/>
      <c r="D294" s="409"/>
      <c r="E294" s="401"/>
      <c r="F294" s="411"/>
      <c r="G294" s="402">
        <f t="shared" si="22"/>
        <v>0</v>
      </c>
    </row>
    <row r="295" spans="1:7" s="160" customFormat="1" x14ac:dyDescent="0.35">
      <c r="A295" s="398"/>
      <c r="B295" s="399"/>
      <c r="C295" s="400"/>
      <c r="D295" s="409"/>
      <c r="E295" s="401"/>
      <c r="F295" s="411"/>
      <c r="G295" s="402">
        <f t="shared" si="22"/>
        <v>0</v>
      </c>
    </row>
    <row r="296" spans="1:7" s="160" customFormat="1" x14ac:dyDescent="0.35">
      <c r="A296" s="398"/>
      <c r="B296" s="399"/>
      <c r="C296" s="400"/>
      <c r="D296" s="409"/>
      <c r="E296" s="401"/>
      <c r="F296" s="411"/>
      <c r="G296" s="402">
        <f t="shared" si="19"/>
        <v>0</v>
      </c>
    </row>
    <row r="297" spans="1:7" s="160" customFormat="1" x14ac:dyDescent="0.35">
      <c r="A297" s="398"/>
      <c r="B297" s="399"/>
      <c r="C297" s="400"/>
      <c r="D297" s="409"/>
      <c r="E297" s="401"/>
      <c r="F297" s="411"/>
      <c r="G297" s="402">
        <f t="shared" si="19"/>
        <v>0</v>
      </c>
    </row>
    <row r="298" spans="1:7" s="160" customFormat="1" x14ac:dyDescent="0.35">
      <c r="A298" s="398"/>
      <c r="B298" s="399"/>
      <c r="C298" s="400"/>
      <c r="D298" s="409"/>
      <c r="E298" s="401"/>
      <c r="F298" s="411"/>
      <c r="G298" s="402">
        <f t="shared" si="19"/>
        <v>0</v>
      </c>
    </row>
    <row r="299" spans="1:7" s="160" customFormat="1" x14ac:dyDescent="0.35">
      <c r="A299" s="398"/>
      <c r="B299" s="399"/>
      <c r="C299" s="400"/>
      <c r="D299" s="409"/>
      <c r="E299" s="401"/>
      <c r="F299" s="411"/>
      <c r="G299" s="402">
        <f>D299*F299</f>
        <v>0</v>
      </c>
    </row>
    <row r="300" spans="1:7" s="160" customFormat="1" x14ac:dyDescent="0.35">
      <c r="A300" s="398"/>
      <c r="B300" s="399"/>
      <c r="C300" s="400"/>
      <c r="D300" s="409"/>
      <c r="E300" s="401"/>
      <c r="F300" s="411"/>
      <c r="G300" s="402">
        <f t="shared" ref="G300:G305" si="23">D300*F300</f>
        <v>0</v>
      </c>
    </row>
    <row r="301" spans="1:7" s="160" customFormat="1" x14ac:dyDescent="0.35">
      <c r="A301" s="398"/>
      <c r="B301" s="399"/>
      <c r="C301" s="400"/>
      <c r="D301" s="409"/>
      <c r="E301" s="401"/>
      <c r="F301" s="411"/>
      <c r="G301" s="402">
        <f t="shared" si="23"/>
        <v>0</v>
      </c>
    </row>
    <row r="302" spans="1:7" s="160" customFormat="1" x14ac:dyDescent="0.35">
      <c r="A302" s="398"/>
      <c r="B302" s="399"/>
      <c r="C302" s="400"/>
      <c r="D302" s="409"/>
      <c r="E302" s="401"/>
      <c r="F302" s="411"/>
      <c r="G302" s="402">
        <f t="shared" si="23"/>
        <v>0</v>
      </c>
    </row>
    <row r="303" spans="1:7" s="160" customFormat="1" x14ac:dyDescent="0.35">
      <c r="A303" s="398"/>
      <c r="B303" s="399"/>
      <c r="C303" s="400"/>
      <c r="D303" s="409"/>
      <c r="E303" s="401"/>
      <c r="F303" s="411"/>
      <c r="G303" s="402">
        <f t="shared" si="23"/>
        <v>0</v>
      </c>
    </row>
    <row r="304" spans="1:7" s="160" customFormat="1" x14ac:dyDescent="0.35">
      <c r="A304" s="398"/>
      <c r="B304" s="399"/>
      <c r="C304" s="400"/>
      <c r="D304" s="409"/>
      <c r="E304" s="401"/>
      <c r="F304" s="411"/>
      <c r="G304" s="402">
        <f t="shared" si="23"/>
        <v>0</v>
      </c>
    </row>
    <row r="305" spans="1:7" s="160" customFormat="1" x14ac:dyDescent="0.35">
      <c r="A305" s="398"/>
      <c r="B305" s="399"/>
      <c r="C305" s="400"/>
      <c r="D305" s="409"/>
      <c r="E305" s="401"/>
      <c r="F305" s="411"/>
      <c r="G305" s="402">
        <f t="shared" si="23"/>
        <v>0</v>
      </c>
    </row>
    <row r="306" spans="1:7" s="160" customFormat="1" x14ac:dyDescent="0.35">
      <c r="A306" s="398"/>
      <c r="B306" s="399"/>
      <c r="C306" s="400"/>
      <c r="D306" s="409"/>
      <c r="E306" s="401"/>
      <c r="F306" s="411"/>
      <c r="G306" s="402">
        <f t="shared" si="19"/>
        <v>0</v>
      </c>
    </row>
    <row r="307" spans="1:7" s="160" customFormat="1" x14ac:dyDescent="0.35">
      <c r="A307" s="398"/>
      <c r="B307" s="399"/>
      <c r="C307" s="400"/>
      <c r="D307" s="409"/>
      <c r="E307" s="401"/>
      <c r="F307" s="411"/>
      <c r="G307" s="402">
        <f t="shared" si="19"/>
        <v>0</v>
      </c>
    </row>
    <row r="308" spans="1:7" s="160" customFormat="1" x14ac:dyDescent="0.35">
      <c r="A308" s="398"/>
      <c r="B308" s="399"/>
      <c r="C308" s="400"/>
      <c r="D308" s="409"/>
      <c r="E308" s="401"/>
      <c r="F308" s="411"/>
      <c r="G308" s="402">
        <f t="shared" si="19"/>
        <v>0</v>
      </c>
    </row>
    <row r="309" spans="1:7" s="160" customFormat="1" x14ac:dyDescent="0.35">
      <c r="A309" s="398"/>
      <c r="B309" s="399"/>
      <c r="C309" s="400"/>
      <c r="D309" s="409"/>
      <c r="E309" s="401"/>
      <c r="F309" s="411"/>
      <c r="G309" s="402">
        <f t="shared" si="19"/>
        <v>0</v>
      </c>
    </row>
    <row r="310" spans="1:7" s="160" customFormat="1" x14ac:dyDescent="0.35">
      <c r="A310" s="398"/>
      <c r="B310" s="399"/>
      <c r="C310" s="400"/>
      <c r="D310" s="409"/>
      <c r="E310" s="401"/>
      <c r="F310" s="411"/>
      <c r="G310" s="402">
        <f t="shared" si="19"/>
        <v>0</v>
      </c>
    </row>
    <row r="311" spans="1:7" s="160" customFormat="1" x14ac:dyDescent="0.35">
      <c r="A311" s="398"/>
      <c r="B311" s="399"/>
      <c r="C311" s="400"/>
      <c r="D311" s="409"/>
      <c r="E311" s="401"/>
      <c r="F311" s="411"/>
      <c r="G311" s="402">
        <f t="shared" si="19"/>
        <v>0</v>
      </c>
    </row>
    <row r="312" spans="1:7" s="160" customFormat="1" x14ac:dyDescent="0.35">
      <c r="A312" s="398"/>
      <c r="B312" s="399"/>
      <c r="C312" s="400"/>
      <c r="D312" s="409"/>
      <c r="E312" s="401"/>
      <c r="F312" s="411"/>
      <c r="G312" s="402">
        <f t="shared" si="19"/>
        <v>0</v>
      </c>
    </row>
    <row r="313" spans="1:7" s="160" customFormat="1" x14ac:dyDescent="0.35">
      <c r="A313" s="398"/>
      <c r="B313" s="399"/>
      <c r="C313" s="400"/>
      <c r="D313" s="409"/>
      <c r="E313" s="401"/>
      <c r="F313" s="411"/>
      <c r="G313" s="402">
        <f t="shared" si="19"/>
        <v>0</v>
      </c>
    </row>
    <row r="314" spans="1:7" s="160" customFormat="1" x14ac:dyDescent="0.35">
      <c r="A314" s="398"/>
      <c r="B314" s="399"/>
      <c r="C314" s="400"/>
      <c r="D314" s="409"/>
      <c r="E314" s="401"/>
      <c r="F314" s="411"/>
      <c r="G314" s="402">
        <f t="shared" si="19"/>
        <v>0</v>
      </c>
    </row>
    <row r="315" spans="1:7" s="160" customFormat="1" x14ac:dyDescent="0.35">
      <c r="A315" s="398"/>
      <c r="B315" s="399"/>
      <c r="C315" s="400"/>
      <c r="D315" s="409"/>
      <c r="E315" s="401"/>
      <c r="F315" s="411"/>
      <c r="G315" s="402">
        <f t="shared" si="19"/>
        <v>0</v>
      </c>
    </row>
    <row r="316" spans="1:7" s="160" customFormat="1" x14ac:dyDescent="0.35">
      <c r="A316" s="398"/>
      <c r="B316" s="399"/>
      <c r="C316" s="400"/>
      <c r="D316" s="409"/>
      <c r="E316" s="401"/>
      <c r="F316" s="411"/>
      <c r="G316" s="402">
        <f t="shared" si="19"/>
        <v>0</v>
      </c>
    </row>
    <row r="317" spans="1:7" s="160" customFormat="1" x14ac:dyDescent="0.35">
      <c r="A317" s="398"/>
      <c r="B317" s="399"/>
      <c r="C317" s="400"/>
      <c r="D317" s="409"/>
      <c r="E317" s="401"/>
      <c r="F317" s="411"/>
      <c r="G317" s="402">
        <f t="shared" si="19"/>
        <v>0</v>
      </c>
    </row>
    <row r="318" spans="1:7" s="160" customFormat="1" x14ac:dyDescent="0.35">
      <c r="A318" s="398"/>
      <c r="B318" s="399"/>
      <c r="C318" s="400"/>
      <c r="D318" s="409"/>
      <c r="E318" s="401"/>
      <c r="F318" s="411"/>
      <c r="G318" s="402">
        <f t="shared" si="19"/>
        <v>0</v>
      </c>
    </row>
    <row r="319" spans="1:7" s="160" customFormat="1" x14ac:dyDescent="0.35">
      <c r="A319" s="398"/>
      <c r="B319" s="399"/>
      <c r="C319" s="400"/>
      <c r="D319" s="409"/>
      <c r="E319" s="401"/>
      <c r="F319" s="411"/>
      <c r="G319" s="402">
        <f t="shared" si="19"/>
        <v>0</v>
      </c>
    </row>
    <row r="320" spans="1:7" s="160" customFormat="1" x14ac:dyDescent="0.35">
      <c r="A320" s="398"/>
      <c r="B320" s="399"/>
      <c r="C320" s="400"/>
      <c r="D320" s="409"/>
      <c r="E320" s="401"/>
      <c r="F320" s="411"/>
      <c r="G320" s="402">
        <f t="shared" si="19"/>
        <v>0</v>
      </c>
    </row>
    <row r="321" spans="1:7" s="160" customFormat="1" x14ac:dyDescent="0.35">
      <c r="A321" s="398"/>
      <c r="B321" s="399"/>
      <c r="C321" s="400"/>
      <c r="D321" s="409"/>
      <c r="E321" s="401"/>
      <c r="F321" s="411"/>
      <c r="G321" s="402">
        <f t="shared" si="19"/>
        <v>0</v>
      </c>
    </row>
    <row r="322" spans="1:7" s="160" customFormat="1" x14ac:dyDescent="0.35">
      <c r="A322" s="398"/>
      <c r="B322" s="399"/>
      <c r="C322" s="400"/>
      <c r="D322" s="409"/>
      <c r="E322" s="401"/>
      <c r="F322" s="411"/>
      <c r="G322" s="402">
        <f t="shared" si="19"/>
        <v>0</v>
      </c>
    </row>
    <row r="323" spans="1:7" s="160" customFormat="1" x14ac:dyDescent="0.35">
      <c r="A323" s="398"/>
      <c r="B323" s="399"/>
      <c r="C323" s="400"/>
      <c r="D323" s="409"/>
      <c r="E323" s="401"/>
      <c r="F323" s="411"/>
      <c r="G323" s="402"/>
    </row>
    <row r="324" spans="1:7" s="160" customFormat="1" ht="24" thickBot="1" x14ac:dyDescent="0.4">
      <c r="A324" s="398"/>
      <c r="B324" s="399"/>
      <c r="C324" s="400"/>
      <c r="D324" s="409"/>
      <c r="E324" s="401"/>
      <c r="F324" s="411"/>
      <c r="G324" s="402">
        <f t="shared" ref="G324:G383" si="24">ROUND(D324*F324,2)</f>
        <v>0</v>
      </c>
    </row>
    <row r="325" spans="1:7" s="160" customFormat="1" ht="24" thickBot="1" x14ac:dyDescent="0.4">
      <c r="A325" s="398"/>
      <c r="B325" s="399"/>
      <c r="C325" s="404" t="s">
        <v>760</v>
      </c>
      <c r="D325" s="409"/>
      <c r="E325" s="401"/>
      <c r="F325" s="411"/>
      <c r="G325" s="405">
        <f>SUM(G283:G324)</f>
        <v>0</v>
      </c>
    </row>
    <row r="326" spans="1:7" s="160" customFormat="1" x14ac:dyDescent="0.35">
      <c r="A326" s="398"/>
      <c r="B326" s="399"/>
      <c r="C326" s="400"/>
      <c r="D326" s="409"/>
      <c r="E326" s="401"/>
      <c r="F326" s="411"/>
      <c r="G326" s="402">
        <f t="shared" si="24"/>
        <v>0</v>
      </c>
    </row>
    <row r="327" spans="1:7" s="160" customFormat="1" x14ac:dyDescent="0.35">
      <c r="A327" s="398"/>
      <c r="B327" s="399"/>
      <c r="C327" s="400"/>
      <c r="D327" s="409"/>
      <c r="E327" s="401"/>
      <c r="F327" s="411"/>
      <c r="G327" s="402">
        <f t="shared" si="24"/>
        <v>0</v>
      </c>
    </row>
    <row r="328" spans="1:7" s="160" customFormat="1" x14ac:dyDescent="0.35">
      <c r="A328" s="398"/>
      <c r="B328" s="399"/>
      <c r="C328" s="400"/>
      <c r="D328" s="409"/>
      <c r="E328" s="401"/>
      <c r="F328" s="411"/>
      <c r="G328" s="402">
        <f t="shared" si="24"/>
        <v>0</v>
      </c>
    </row>
    <row r="329" spans="1:7" s="160" customFormat="1" ht="24" thickBot="1" x14ac:dyDescent="0.4">
      <c r="A329" s="398"/>
      <c r="B329" s="399"/>
      <c r="C329" s="400"/>
      <c r="D329" s="409"/>
      <c r="E329" s="401"/>
      <c r="F329" s="411"/>
      <c r="G329" s="402">
        <f t="shared" si="24"/>
        <v>0</v>
      </c>
    </row>
    <row r="330" spans="1:7" ht="18.75" customHeight="1" x14ac:dyDescent="0.35">
      <c r="A330" s="383"/>
      <c r="B330" s="384"/>
      <c r="C330" s="385"/>
      <c r="D330" s="386"/>
      <c r="E330" s="387"/>
      <c r="F330" s="410"/>
      <c r="G330" s="387"/>
    </row>
    <row r="331" spans="1:7" s="160" customFormat="1" x14ac:dyDescent="0.35">
      <c r="A331" s="388"/>
      <c r="B331" s="389"/>
      <c r="C331" s="390"/>
      <c r="D331" s="391"/>
      <c r="E331" s="391"/>
      <c r="F331" s="393" t="s">
        <v>2</v>
      </c>
      <c r="G331" s="393"/>
    </row>
    <row r="332" spans="1:7" s="160" customFormat="1" ht="24" thickBot="1" x14ac:dyDescent="0.4">
      <c r="A332" s="394"/>
      <c r="B332" s="395"/>
      <c r="C332" s="396" t="s">
        <v>753</v>
      </c>
      <c r="D332" s="397" t="s">
        <v>3</v>
      </c>
      <c r="E332" s="397" t="s">
        <v>1</v>
      </c>
      <c r="F332" s="397" t="s">
        <v>4</v>
      </c>
      <c r="G332" s="397" t="s">
        <v>5</v>
      </c>
    </row>
    <row r="333" spans="1:7" s="160" customFormat="1" ht="18" customHeight="1" x14ac:dyDescent="0.35">
      <c r="A333" s="398"/>
      <c r="B333" s="399"/>
      <c r="C333" s="400"/>
      <c r="D333" s="409"/>
      <c r="E333" s="401"/>
      <c r="F333" s="411"/>
      <c r="G333" s="402">
        <f t="shared" ref="G333:G334" si="25">ROUND(D333*F333,2)</f>
        <v>0</v>
      </c>
    </row>
    <row r="334" spans="1:7" s="160" customFormat="1" x14ac:dyDescent="0.35">
      <c r="A334" s="398"/>
      <c r="B334" s="399"/>
      <c r="C334" s="412" t="s">
        <v>825</v>
      </c>
      <c r="D334" s="409"/>
      <c r="E334" s="401"/>
      <c r="F334" s="411"/>
      <c r="G334" s="402">
        <f t="shared" si="25"/>
        <v>0</v>
      </c>
    </row>
    <row r="335" spans="1:7" s="160" customFormat="1" x14ac:dyDescent="0.35">
      <c r="A335" s="398"/>
      <c r="B335" s="399"/>
      <c r="C335" s="400"/>
      <c r="D335" s="409"/>
      <c r="E335" s="401"/>
      <c r="F335" s="411"/>
      <c r="G335" s="402">
        <f t="shared" si="24"/>
        <v>0</v>
      </c>
    </row>
    <row r="336" spans="1:7" s="160" customFormat="1" x14ac:dyDescent="0.35">
      <c r="A336" s="398"/>
      <c r="B336" s="399"/>
      <c r="C336" s="400"/>
      <c r="D336" s="409"/>
      <c r="E336" s="401"/>
      <c r="F336" s="411"/>
      <c r="G336" s="402">
        <f t="shared" si="24"/>
        <v>0</v>
      </c>
    </row>
    <row r="337" spans="1:7" s="160" customFormat="1" x14ac:dyDescent="0.35">
      <c r="A337" s="398"/>
      <c r="B337" s="399"/>
      <c r="C337" s="400"/>
      <c r="D337" s="409"/>
      <c r="E337" s="401"/>
      <c r="F337" s="411"/>
      <c r="G337" s="402">
        <f t="shared" si="24"/>
        <v>0</v>
      </c>
    </row>
    <row r="338" spans="1:7" s="160" customFormat="1" ht="24" thickBot="1" x14ac:dyDescent="0.4">
      <c r="A338" s="398"/>
      <c r="B338" s="399"/>
      <c r="C338" s="400"/>
      <c r="D338" s="409"/>
      <c r="E338" s="401"/>
      <c r="F338" s="411"/>
      <c r="G338" s="402">
        <f t="shared" si="24"/>
        <v>0</v>
      </c>
    </row>
    <row r="339" spans="1:7" s="160" customFormat="1" ht="47.25" thickBot="1" x14ac:dyDescent="0.4">
      <c r="A339" s="398"/>
      <c r="B339" s="399"/>
      <c r="C339" s="400" t="s">
        <v>953</v>
      </c>
      <c r="D339" s="409">
        <v>1</v>
      </c>
      <c r="E339" s="401" t="s">
        <v>819</v>
      </c>
      <c r="F339" s="411"/>
      <c r="G339" s="433">
        <f t="shared" ref="G339" si="26">D339*F339</f>
        <v>0</v>
      </c>
    </row>
    <row r="340" spans="1:7" s="160" customFormat="1" x14ac:dyDescent="0.35">
      <c r="A340" s="398"/>
      <c r="B340" s="399"/>
      <c r="C340" s="400"/>
      <c r="D340" s="409"/>
      <c r="E340" s="401"/>
      <c r="F340" s="411"/>
      <c r="G340" s="402">
        <f t="shared" ref="G340:G344" si="27">ROUND(D340*F340,2)</f>
        <v>0</v>
      </c>
    </row>
    <row r="341" spans="1:7" s="160" customFormat="1" x14ac:dyDescent="0.35">
      <c r="A341" s="398"/>
      <c r="B341" s="399"/>
      <c r="C341" s="400"/>
      <c r="D341" s="409"/>
      <c r="E341" s="401"/>
      <c r="F341" s="411"/>
      <c r="G341" s="402">
        <f t="shared" si="27"/>
        <v>0</v>
      </c>
    </row>
    <row r="342" spans="1:7" s="160" customFormat="1" x14ac:dyDescent="0.35">
      <c r="A342" s="398"/>
      <c r="B342" s="399"/>
      <c r="C342" s="400"/>
      <c r="D342" s="409"/>
      <c r="E342" s="401"/>
      <c r="F342" s="411"/>
      <c r="G342" s="402">
        <f t="shared" si="27"/>
        <v>0</v>
      </c>
    </row>
    <row r="343" spans="1:7" s="160" customFormat="1" x14ac:dyDescent="0.35">
      <c r="A343" s="398"/>
      <c r="B343" s="399"/>
      <c r="C343" s="400"/>
      <c r="D343" s="409"/>
      <c r="E343" s="401"/>
      <c r="F343" s="411"/>
      <c r="G343" s="402">
        <f t="shared" si="27"/>
        <v>0</v>
      </c>
    </row>
    <row r="344" spans="1:7" s="160" customFormat="1" x14ac:dyDescent="0.35">
      <c r="A344" s="398"/>
      <c r="B344" s="399"/>
      <c r="C344" s="400"/>
      <c r="D344" s="409"/>
      <c r="E344" s="401"/>
      <c r="F344" s="411"/>
      <c r="G344" s="402">
        <f t="shared" si="27"/>
        <v>0</v>
      </c>
    </row>
    <row r="345" spans="1:7" s="160" customFormat="1" ht="69.75" x14ac:dyDescent="0.35">
      <c r="A345" s="398"/>
      <c r="B345" s="399"/>
      <c r="C345" s="400" t="s">
        <v>818</v>
      </c>
      <c r="D345" s="409">
        <v>1</v>
      </c>
      <c r="E345" s="401" t="s">
        <v>756</v>
      </c>
      <c r="F345" s="411"/>
      <c r="G345" s="402">
        <f t="shared" ref="G345" si="28">D345*F345</f>
        <v>0</v>
      </c>
    </row>
    <row r="346" spans="1:7" s="160" customFormat="1" x14ac:dyDescent="0.35">
      <c r="A346" s="398"/>
      <c r="B346" s="399"/>
      <c r="C346" s="400"/>
      <c r="D346" s="409"/>
      <c r="E346" s="401"/>
      <c r="F346" s="411"/>
      <c r="G346" s="402">
        <f t="shared" ref="G346" si="29">D346*F346</f>
        <v>0</v>
      </c>
    </row>
    <row r="347" spans="1:7" s="160" customFormat="1" x14ac:dyDescent="0.35">
      <c r="A347" s="398"/>
      <c r="B347" s="399"/>
      <c r="C347" s="400"/>
      <c r="D347" s="409"/>
      <c r="E347" s="401"/>
      <c r="F347" s="411"/>
      <c r="G347" s="402">
        <f t="shared" si="24"/>
        <v>0</v>
      </c>
    </row>
    <row r="348" spans="1:7" s="160" customFormat="1" x14ac:dyDescent="0.35">
      <c r="A348" s="398"/>
      <c r="B348" s="399"/>
      <c r="C348" s="400"/>
      <c r="D348" s="409"/>
      <c r="E348" s="401"/>
      <c r="F348" s="411"/>
      <c r="G348" s="402">
        <f t="shared" ref="G348" si="30">D348*F348</f>
        <v>0</v>
      </c>
    </row>
    <row r="349" spans="1:7" s="160" customFormat="1" x14ac:dyDescent="0.35">
      <c r="A349" s="398"/>
      <c r="B349" s="399"/>
      <c r="C349" s="400"/>
      <c r="D349" s="409"/>
      <c r="E349" s="401"/>
      <c r="F349" s="411"/>
      <c r="G349" s="402">
        <f t="shared" si="24"/>
        <v>0</v>
      </c>
    </row>
    <row r="350" spans="1:7" s="160" customFormat="1" x14ac:dyDescent="0.35">
      <c r="A350" s="398"/>
      <c r="B350" s="399"/>
      <c r="C350" s="400"/>
      <c r="D350" s="409"/>
      <c r="E350" s="401"/>
      <c r="F350" s="411"/>
      <c r="G350" s="402">
        <f t="shared" ref="G350" si="31">D350*F350</f>
        <v>0</v>
      </c>
    </row>
    <row r="351" spans="1:7" s="160" customFormat="1" x14ac:dyDescent="0.35">
      <c r="A351" s="398"/>
      <c r="B351" s="399"/>
      <c r="C351" s="400"/>
      <c r="D351" s="409"/>
      <c r="E351" s="401"/>
      <c r="F351" s="411"/>
      <c r="G351" s="402">
        <f t="shared" si="24"/>
        <v>0</v>
      </c>
    </row>
    <row r="352" spans="1:7" s="160" customFormat="1" x14ac:dyDescent="0.35">
      <c r="A352" s="398"/>
      <c r="B352" s="399"/>
      <c r="C352" s="400"/>
      <c r="D352" s="409"/>
      <c r="E352" s="401"/>
      <c r="F352" s="411"/>
      <c r="G352" s="402">
        <f t="shared" si="24"/>
        <v>0</v>
      </c>
    </row>
    <row r="353" spans="1:7" s="160" customFormat="1" x14ac:dyDescent="0.35">
      <c r="A353" s="398"/>
      <c r="B353" s="399"/>
      <c r="C353" s="400"/>
      <c r="D353" s="409"/>
      <c r="E353" s="401"/>
      <c r="F353" s="411"/>
      <c r="G353" s="402">
        <f t="shared" si="24"/>
        <v>0</v>
      </c>
    </row>
    <row r="354" spans="1:7" s="160" customFormat="1" x14ac:dyDescent="0.35">
      <c r="A354" s="398"/>
      <c r="B354" s="399"/>
      <c r="C354" s="400"/>
      <c r="D354" s="409"/>
      <c r="E354" s="401"/>
      <c r="F354" s="411"/>
      <c r="G354" s="402">
        <f t="shared" si="24"/>
        <v>0</v>
      </c>
    </row>
    <row r="355" spans="1:7" s="160" customFormat="1" x14ac:dyDescent="0.35">
      <c r="A355" s="398"/>
      <c r="B355" s="399"/>
      <c r="C355" s="400"/>
      <c r="D355" s="409"/>
      <c r="E355" s="401"/>
      <c r="F355" s="411"/>
      <c r="G355" s="402">
        <f t="shared" si="24"/>
        <v>0</v>
      </c>
    </row>
    <row r="356" spans="1:7" s="160" customFormat="1" x14ac:dyDescent="0.35">
      <c r="A356" s="398"/>
      <c r="B356" s="399"/>
      <c r="C356" s="400"/>
      <c r="D356" s="409"/>
      <c r="E356" s="401"/>
      <c r="F356" s="411"/>
      <c r="G356" s="402">
        <f t="shared" si="24"/>
        <v>0</v>
      </c>
    </row>
    <row r="357" spans="1:7" s="160" customFormat="1" x14ac:dyDescent="0.35">
      <c r="A357" s="398"/>
      <c r="B357" s="399"/>
      <c r="C357" s="400"/>
      <c r="D357" s="409"/>
      <c r="E357" s="401"/>
      <c r="F357" s="411"/>
      <c r="G357" s="402">
        <f t="shared" si="24"/>
        <v>0</v>
      </c>
    </row>
    <row r="358" spans="1:7" s="160" customFormat="1" x14ac:dyDescent="0.35">
      <c r="A358" s="398"/>
      <c r="B358" s="399"/>
      <c r="C358" s="400"/>
      <c r="D358" s="409"/>
      <c r="E358" s="401"/>
      <c r="F358" s="411"/>
      <c r="G358" s="402">
        <f t="shared" si="24"/>
        <v>0</v>
      </c>
    </row>
    <row r="359" spans="1:7" s="160" customFormat="1" x14ac:dyDescent="0.35">
      <c r="A359" s="398"/>
      <c r="B359" s="399"/>
      <c r="C359" s="400"/>
      <c r="D359" s="409"/>
      <c r="E359" s="401"/>
      <c r="F359" s="411"/>
      <c r="G359" s="402">
        <f t="shared" si="24"/>
        <v>0</v>
      </c>
    </row>
    <row r="360" spans="1:7" s="160" customFormat="1" x14ac:dyDescent="0.35">
      <c r="A360" s="398"/>
      <c r="B360" s="399"/>
      <c r="C360" s="400"/>
      <c r="D360" s="409"/>
      <c r="E360" s="401"/>
      <c r="F360" s="411"/>
      <c r="G360" s="402">
        <f t="shared" si="24"/>
        <v>0</v>
      </c>
    </row>
    <row r="361" spans="1:7" s="160" customFormat="1" x14ac:dyDescent="0.35">
      <c r="A361" s="398"/>
      <c r="B361" s="399"/>
      <c r="C361" s="400"/>
      <c r="D361" s="409"/>
      <c r="E361" s="401"/>
      <c r="F361" s="411"/>
      <c r="G361" s="402">
        <f t="shared" si="24"/>
        <v>0</v>
      </c>
    </row>
    <row r="362" spans="1:7" s="160" customFormat="1" x14ac:dyDescent="0.35">
      <c r="A362" s="398"/>
      <c r="B362" s="399"/>
      <c r="C362" s="400"/>
      <c r="D362" s="409"/>
      <c r="E362" s="401"/>
      <c r="F362" s="411"/>
      <c r="G362" s="402">
        <f t="shared" si="24"/>
        <v>0</v>
      </c>
    </row>
    <row r="363" spans="1:7" s="160" customFormat="1" x14ac:dyDescent="0.35">
      <c r="A363" s="398"/>
      <c r="B363" s="399"/>
      <c r="C363" s="400"/>
      <c r="D363" s="409"/>
      <c r="E363" s="401"/>
      <c r="F363" s="411"/>
      <c r="G363" s="402">
        <f t="shared" si="24"/>
        <v>0</v>
      </c>
    </row>
    <row r="364" spans="1:7" s="160" customFormat="1" x14ac:dyDescent="0.35">
      <c r="A364" s="398"/>
      <c r="B364" s="399"/>
      <c r="C364" s="400"/>
      <c r="D364" s="409"/>
      <c r="E364" s="401"/>
      <c r="F364" s="411"/>
      <c r="G364" s="402">
        <f t="shared" si="24"/>
        <v>0</v>
      </c>
    </row>
    <row r="365" spans="1:7" s="160" customFormat="1" x14ac:dyDescent="0.35">
      <c r="A365" s="398"/>
      <c r="B365" s="399"/>
      <c r="C365" s="400"/>
      <c r="D365" s="409"/>
      <c r="E365" s="401"/>
      <c r="F365" s="411"/>
      <c r="G365" s="402">
        <f t="shared" si="24"/>
        <v>0</v>
      </c>
    </row>
    <row r="366" spans="1:7" s="160" customFormat="1" x14ac:dyDescent="0.35">
      <c r="A366" s="398"/>
      <c r="B366" s="399"/>
      <c r="C366" s="400"/>
      <c r="D366" s="409"/>
      <c r="E366" s="401"/>
      <c r="F366" s="411"/>
      <c r="G366" s="402">
        <f t="shared" si="24"/>
        <v>0</v>
      </c>
    </row>
    <row r="367" spans="1:7" s="160" customFormat="1" x14ac:dyDescent="0.35">
      <c r="A367" s="398"/>
      <c r="B367" s="399"/>
      <c r="C367" s="400"/>
      <c r="D367" s="409"/>
      <c r="E367" s="401"/>
      <c r="F367" s="411"/>
      <c r="G367" s="402">
        <f t="shared" si="24"/>
        <v>0</v>
      </c>
    </row>
    <row r="368" spans="1:7" s="160" customFormat="1" x14ac:dyDescent="0.35">
      <c r="A368" s="398"/>
      <c r="B368" s="399"/>
      <c r="C368" s="400"/>
      <c r="D368" s="409"/>
      <c r="E368" s="401"/>
      <c r="F368" s="411"/>
      <c r="G368" s="402">
        <f t="shared" si="24"/>
        <v>0</v>
      </c>
    </row>
    <row r="369" spans="1:7" s="160" customFormat="1" x14ac:dyDescent="0.35">
      <c r="A369" s="398"/>
      <c r="B369" s="399"/>
      <c r="C369" s="400"/>
      <c r="D369" s="409"/>
      <c r="E369" s="401"/>
      <c r="F369" s="411"/>
      <c r="G369" s="402"/>
    </row>
    <row r="370" spans="1:7" s="160" customFormat="1" ht="24" thickBot="1" x14ac:dyDescent="0.4">
      <c r="A370" s="398"/>
      <c r="B370" s="399"/>
      <c r="C370" s="400"/>
      <c r="D370" s="409"/>
      <c r="E370" s="401"/>
      <c r="F370" s="411"/>
      <c r="G370" s="402">
        <f t="shared" si="24"/>
        <v>0</v>
      </c>
    </row>
    <row r="371" spans="1:7" s="160" customFormat="1" ht="24" thickBot="1" x14ac:dyDescent="0.4">
      <c r="A371" s="398"/>
      <c r="B371" s="399"/>
      <c r="C371" s="404" t="s">
        <v>760</v>
      </c>
      <c r="D371" s="409"/>
      <c r="E371" s="401"/>
      <c r="F371" s="411"/>
      <c r="G371" s="405">
        <f>SUM(G336:G370)</f>
        <v>0</v>
      </c>
    </row>
    <row r="372" spans="1:7" s="160" customFormat="1" x14ac:dyDescent="0.35">
      <c r="A372" s="398"/>
      <c r="B372" s="399"/>
      <c r="C372" s="400"/>
      <c r="D372" s="409"/>
      <c r="E372" s="401"/>
      <c r="F372" s="411"/>
      <c r="G372" s="402">
        <f t="shared" si="24"/>
        <v>0</v>
      </c>
    </row>
    <row r="373" spans="1:7" s="160" customFormat="1" x14ac:dyDescent="0.35">
      <c r="A373" s="398"/>
      <c r="B373" s="399"/>
      <c r="C373" s="400"/>
      <c r="D373" s="409"/>
      <c r="E373" s="401"/>
      <c r="F373" s="411"/>
      <c r="G373" s="402">
        <f t="shared" si="24"/>
        <v>0</v>
      </c>
    </row>
    <row r="374" spans="1:7" s="160" customFormat="1" x14ac:dyDescent="0.35">
      <c r="A374" s="398"/>
      <c r="B374" s="399"/>
      <c r="C374" s="400"/>
      <c r="D374" s="409"/>
      <c r="E374" s="401"/>
      <c r="F374" s="411"/>
      <c r="G374" s="402">
        <f t="shared" si="24"/>
        <v>0</v>
      </c>
    </row>
    <row r="375" spans="1:7" s="160" customFormat="1" x14ac:dyDescent="0.35">
      <c r="A375" s="398"/>
      <c r="B375" s="399"/>
      <c r="C375" s="400"/>
      <c r="D375" s="409"/>
      <c r="E375" s="401"/>
      <c r="F375" s="411"/>
      <c r="G375" s="402">
        <f t="shared" si="24"/>
        <v>0</v>
      </c>
    </row>
    <row r="376" spans="1:7" s="160" customFormat="1" x14ac:dyDescent="0.35">
      <c r="A376" s="398"/>
      <c r="B376" s="399"/>
      <c r="C376" s="400"/>
      <c r="D376" s="409"/>
      <c r="E376" s="401"/>
      <c r="F376" s="411"/>
      <c r="G376" s="402">
        <f t="shared" si="24"/>
        <v>0</v>
      </c>
    </row>
    <row r="377" spans="1:7" s="160" customFormat="1" ht="24" thickBot="1" x14ac:dyDescent="0.4">
      <c r="A377" s="398"/>
      <c r="B377" s="399"/>
      <c r="C377" s="400"/>
      <c r="D377" s="409"/>
      <c r="E377" s="401"/>
      <c r="F377" s="411"/>
      <c r="G377" s="402">
        <f t="shared" si="24"/>
        <v>0</v>
      </c>
    </row>
    <row r="378" spans="1:7" ht="18.75" customHeight="1" x14ac:dyDescent="0.35">
      <c r="A378" s="383"/>
      <c r="B378" s="384"/>
      <c r="C378" s="385"/>
      <c r="D378" s="386"/>
      <c r="E378" s="387"/>
      <c r="F378" s="410"/>
      <c r="G378" s="387"/>
    </row>
    <row r="379" spans="1:7" s="160" customFormat="1" x14ac:dyDescent="0.35">
      <c r="A379" s="388"/>
      <c r="B379" s="389"/>
      <c r="C379" s="390"/>
      <c r="D379" s="391"/>
      <c r="E379" s="391"/>
      <c r="F379" s="393" t="s">
        <v>2</v>
      </c>
      <c r="G379" s="393"/>
    </row>
    <row r="380" spans="1:7" s="160" customFormat="1" ht="24" thickBot="1" x14ac:dyDescent="0.4">
      <c r="A380" s="394"/>
      <c r="B380" s="395"/>
      <c r="C380" s="396" t="s">
        <v>753</v>
      </c>
      <c r="D380" s="397" t="s">
        <v>3</v>
      </c>
      <c r="E380" s="397" t="s">
        <v>1</v>
      </c>
      <c r="F380" s="397" t="s">
        <v>4</v>
      </c>
      <c r="G380" s="397" t="s">
        <v>5</v>
      </c>
    </row>
    <row r="381" spans="1:7" s="160" customFormat="1" ht="18" customHeight="1" x14ac:dyDescent="0.35">
      <c r="A381" s="398"/>
      <c r="B381" s="399"/>
      <c r="C381" s="400"/>
      <c r="D381" s="409"/>
      <c r="E381" s="401"/>
      <c r="F381" s="411"/>
      <c r="G381" s="402">
        <f t="shared" ref="G381:G382" si="32">ROUND(D381*F381,2)</f>
        <v>0</v>
      </c>
    </row>
    <row r="382" spans="1:7" s="160" customFormat="1" ht="46.5" x14ac:dyDescent="0.35">
      <c r="A382" s="398"/>
      <c r="B382" s="399"/>
      <c r="C382" s="412" t="s">
        <v>885</v>
      </c>
      <c r="D382" s="409"/>
      <c r="E382" s="401"/>
      <c r="F382" s="411"/>
      <c r="G382" s="402">
        <f t="shared" si="32"/>
        <v>0</v>
      </c>
    </row>
    <row r="383" spans="1:7" s="160" customFormat="1" x14ac:dyDescent="0.35">
      <c r="A383" s="398"/>
      <c r="B383" s="399"/>
      <c r="C383" s="400"/>
      <c r="D383" s="409"/>
      <c r="E383" s="401"/>
      <c r="F383" s="411"/>
      <c r="G383" s="402">
        <f t="shared" si="24"/>
        <v>0</v>
      </c>
    </row>
    <row r="384" spans="1:7" s="160" customFormat="1" ht="93" x14ac:dyDescent="0.35">
      <c r="A384" s="398"/>
      <c r="B384" s="399"/>
      <c r="C384" s="400" t="s">
        <v>829</v>
      </c>
      <c r="D384" s="409">
        <v>54</v>
      </c>
      <c r="E384" s="401" t="s">
        <v>772</v>
      </c>
      <c r="F384" s="411"/>
      <c r="G384" s="402">
        <f t="shared" ref="G384:G402" si="33">D384*F384</f>
        <v>0</v>
      </c>
    </row>
    <row r="385" spans="1:7" s="160" customFormat="1" x14ac:dyDescent="0.35">
      <c r="A385" s="398"/>
      <c r="B385" s="399"/>
      <c r="C385" s="400"/>
      <c r="D385" s="409"/>
      <c r="E385" s="401"/>
      <c r="F385" s="411"/>
      <c r="G385" s="402">
        <f t="shared" si="33"/>
        <v>0</v>
      </c>
    </row>
    <row r="386" spans="1:7" s="160" customFormat="1" ht="116.25" x14ac:dyDescent="0.35">
      <c r="A386" s="398"/>
      <c r="B386" s="399"/>
      <c r="C386" s="400" t="s">
        <v>831</v>
      </c>
      <c r="D386" s="409">
        <v>282</v>
      </c>
      <c r="E386" s="401" t="s">
        <v>772</v>
      </c>
      <c r="F386" s="411"/>
      <c r="G386" s="402">
        <f t="shared" si="33"/>
        <v>0</v>
      </c>
    </row>
    <row r="387" spans="1:7" s="160" customFormat="1" x14ac:dyDescent="0.35">
      <c r="A387" s="398"/>
      <c r="B387" s="399"/>
      <c r="C387" s="400"/>
      <c r="D387" s="409"/>
      <c r="E387" s="401"/>
      <c r="F387" s="411"/>
      <c r="G387" s="402">
        <f t="shared" si="33"/>
        <v>0</v>
      </c>
    </row>
    <row r="388" spans="1:7" s="160" customFormat="1" ht="93" x14ac:dyDescent="0.35">
      <c r="A388" s="398"/>
      <c r="B388" s="399"/>
      <c r="C388" s="400" t="s">
        <v>828</v>
      </c>
      <c r="D388" s="409">
        <v>20</v>
      </c>
      <c r="E388" s="401" t="s">
        <v>26</v>
      </c>
      <c r="F388" s="411"/>
      <c r="G388" s="402">
        <f t="shared" si="33"/>
        <v>0</v>
      </c>
    </row>
    <row r="389" spans="1:7" s="160" customFormat="1" x14ac:dyDescent="0.35">
      <c r="A389" s="398"/>
      <c r="B389" s="399"/>
      <c r="C389" s="400"/>
      <c r="D389" s="409"/>
      <c r="E389" s="401"/>
      <c r="F389" s="411"/>
      <c r="G389" s="402">
        <f t="shared" si="33"/>
        <v>0</v>
      </c>
    </row>
    <row r="390" spans="1:7" s="160" customFormat="1" ht="69.75" x14ac:dyDescent="0.35">
      <c r="A390" s="398"/>
      <c r="B390" s="399"/>
      <c r="C390" s="400" t="s">
        <v>827</v>
      </c>
      <c r="D390" s="409">
        <v>164</v>
      </c>
      <c r="E390" s="401" t="s">
        <v>26</v>
      </c>
      <c r="F390" s="411"/>
      <c r="G390" s="402">
        <f t="shared" si="33"/>
        <v>0</v>
      </c>
    </row>
    <row r="391" spans="1:7" s="160" customFormat="1" x14ac:dyDescent="0.35">
      <c r="A391" s="398"/>
      <c r="B391" s="399"/>
      <c r="C391" s="400"/>
      <c r="D391" s="409"/>
      <c r="E391" s="401"/>
      <c r="F391" s="411"/>
      <c r="G391" s="402">
        <f t="shared" si="33"/>
        <v>0</v>
      </c>
    </row>
    <row r="392" spans="1:7" s="160" customFormat="1" x14ac:dyDescent="0.35">
      <c r="A392" s="398"/>
      <c r="B392" s="399"/>
      <c r="C392" s="400" t="s">
        <v>826</v>
      </c>
      <c r="D392" s="409">
        <v>12</v>
      </c>
      <c r="E392" s="401" t="s">
        <v>761</v>
      </c>
      <c r="F392" s="411"/>
      <c r="G392" s="402">
        <f t="shared" si="33"/>
        <v>0</v>
      </c>
    </row>
    <row r="393" spans="1:7" s="160" customFormat="1" x14ac:dyDescent="0.35">
      <c r="A393" s="398"/>
      <c r="B393" s="399"/>
      <c r="C393" s="400"/>
      <c r="D393" s="409"/>
      <c r="E393" s="401"/>
      <c r="F393" s="411"/>
      <c r="G393" s="402">
        <f t="shared" si="33"/>
        <v>0</v>
      </c>
    </row>
    <row r="394" spans="1:7" s="160" customFormat="1" ht="46.5" x14ac:dyDescent="0.35">
      <c r="A394" s="398"/>
      <c r="B394" s="399"/>
      <c r="C394" s="400" t="s">
        <v>846</v>
      </c>
      <c r="D394" s="409">
        <v>42</v>
      </c>
      <c r="E394" s="401" t="s">
        <v>777</v>
      </c>
      <c r="F394" s="411"/>
      <c r="G394" s="402">
        <f t="shared" si="33"/>
        <v>0</v>
      </c>
    </row>
    <row r="395" spans="1:7" s="160" customFormat="1" x14ac:dyDescent="0.35">
      <c r="A395" s="398"/>
      <c r="B395" s="399"/>
      <c r="C395" s="400"/>
      <c r="D395" s="409"/>
      <c r="E395" s="401"/>
      <c r="F395" s="411"/>
      <c r="G395" s="402">
        <f t="shared" si="33"/>
        <v>0</v>
      </c>
    </row>
    <row r="396" spans="1:7" s="160" customFormat="1" ht="46.5" x14ac:dyDescent="0.35">
      <c r="A396" s="398"/>
      <c r="B396" s="399"/>
      <c r="C396" s="400" t="s">
        <v>847</v>
      </c>
      <c r="D396" s="409">
        <v>6</v>
      </c>
      <c r="E396" s="401" t="s">
        <v>824</v>
      </c>
      <c r="F396" s="411"/>
      <c r="G396" s="402">
        <f t="shared" si="33"/>
        <v>0</v>
      </c>
    </row>
    <row r="397" spans="1:7" s="160" customFormat="1" x14ac:dyDescent="0.35">
      <c r="A397" s="398"/>
      <c r="B397" s="399"/>
      <c r="C397" s="400"/>
      <c r="D397" s="409"/>
      <c r="E397" s="401"/>
      <c r="F397" s="411"/>
      <c r="G397" s="402">
        <f t="shared" si="33"/>
        <v>0</v>
      </c>
    </row>
    <row r="398" spans="1:7" s="160" customFormat="1" ht="93" x14ac:dyDescent="0.35">
      <c r="A398" s="398"/>
      <c r="B398" s="399"/>
      <c r="C398" s="400" t="s">
        <v>888</v>
      </c>
      <c r="D398" s="409">
        <v>44</v>
      </c>
      <c r="E398" s="401" t="s">
        <v>26</v>
      </c>
      <c r="F398" s="411"/>
      <c r="G398" s="402">
        <f>D398*F398</f>
        <v>0</v>
      </c>
    </row>
    <row r="399" spans="1:7" s="160" customFormat="1" x14ac:dyDescent="0.35">
      <c r="A399" s="398"/>
      <c r="B399" s="399"/>
      <c r="C399" s="400"/>
      <c r="D399" s="409"/>
      <c r="E399" s="401"/>
      <c r="F399" s="411"/>
      <c r="G399" s="402">
        <f t="shared" si="33"/>
        <v>0</v>
      </c>
    </row>
    <row r="400" spans="1:7" s="160" customFormat="1" ht="46.5" x14ac:dyDescent="0.35">
      <c r="A400" s="398"/>
      <c r="B400" s="399"/>
      <c r="C400" s="400" t="s">
        <v>889</v>
      </c>
      <c r="D400" s="409">
        <v>6</v>
      </c>
      <c r="E400" s="401" t="s">
        <v>761</v>
      </c>
      <c r="F400" s="411"/>
      <c r="G400" s="402">
        <f t="shared" si="33"/>
        <v>0</v>
      </c>
    </row>
    <row r="401" spans="1:7" s="160" customFormat="1" x14ac:dyDescent="0.35">
      <c r="A401" s="398"/>
      <c r="B401" s="399"/>
      <c r="C401" s="400"/>
      <c r="D401" s="409"/>
      <c r="E401" s="401"/>
      <c r="F401" s="411"/>
      <c r="G401" s="402">
        <f t="shared" si="33"/>
        <v>0</v>
      </c>
    </row>
    <row r="402" spans="1:7" s="160" customFormat="1" ht="46.5" x14ac:dyDescent="0.35">
      <c r="A402" s="398"/>
      <c r="B402" s="399"/>
      <c r="C402" s="400" t="s">
        <v>886</v>
      </c>
      <c r="D402" s="409">
        <v>36</v>
      </c>
      <c r="E402" s="401" t="s">
        <v>26</v>
      </c>
      <c r="F402" s="411"/>
      <c r="G402" s="402">
        <f t="shared" si="33"/>
        <v>0</v>
      </c>
    </row>
    <row r="403" spans="1:7" s="160" customFormat="1" x14ac:dyDescent="0.35">
      <c r="A403" s="398"/>
      <c r="B403" s="399"/>
      <c r="C403" s="400"/>
      <c r="D403" s="409"/>
      <c r="E403" s="401"/>
      <c r="F403" s="411"/>
      <c r="G403" s="402">
        <f t="shared" ref="G403:G407" si="34">ROUND(D403*F403,2)</f>
        <v>0</v>
      </c>
    </row>
    <row r="404" spans="1:7" s="160" customFormat="1" ht="46.5" x14ac:dyDescent="0.35">
      <c r="A404" s="398"/>
      <c r="B404" s="399"/>
      <c r="C404" s="400" t="s">
        <v>887</v>
      </c>
      <c r="D404" s="409">
        <v>36</v>
      </c>
      <c r="E404" s="401" t="s">
        <v>26</v>
      </c>
      <c r="F404" s="411"/>
      <c r="G404" s="402">
        <f t="shared" si="34"/>
        <v>0</v>
      </c>
    </row>
    <row r="405" spans="1:7" s="160" customFormat="1" x14ac:dyDescent="0.35">
      <c r="A405" s="398"/>
      <c r="B405" s="399"/>
      <c r="C405" s="400"/>
      <c r="D405" s="409"/>
      <c r="E405" s="401"/>
      <c r="F405" s="411"/>
      <c r="G405" s="402">
        <f t="shared" si="34"/>
        <v>0</v>
      </c>
    </row>
    <row r="406" spans="1:7" s="160" customFormat="1" x14ac:dyDescent="0.35">
      <c r="A406" s="398"/>
      <c r="B406" s="399"/>
      <c r="C406" s="400" t="s">
        <v>830</v>
      </c>
      <c r="D406" s="409">
        <v>1</v>
      </c>
      <c r="E406" s="401" t="s">
        <v>819</v>
      </c>
      <c r="F406" s="411"/>
      <c r="G406" s="402">
        <f t="shared" si="34"/>
        <v>0</v>
      </c>
    </row>
    <row r="407" spans="1:7" s="160" customFormat="1" ht="24" thickBot="1" x14ac:dyDescent="0.4">
      <c r="A407" s="398"/>
      <c r="B407" s="399"/>
      <c r="C407" s="400"/>
      <c r="D407" s="409"/>
      <c r="E407" s="401"/>
      <c r="F407" s="411"/>
      <c r="G407" s="402">
        <f t="shared" si="34"/>
        <v>0</v>
      </c>
    </row>
    <row r="408" spans="1:7" s="160" customFormat="1" ht="24" thickBot="1" x14ac:dyDescent="0.4">
      <c r="A408" s="398"/>
      <c r="B408" s="399"/>
      <c r="C408" s="404" t="s">
        <v>760</v>
      </c>
      <c r="D408" s="409"/>
      <c r="E408" s="401"/>
      <c r="F408" s="411"/>
      <c r="G408" s="405">
        <f>SUM(G382:G407)</f>
        <v>0</v>
      </c>
    </row>
    <row r="409" spans="1:7" ht="18.75" customHeight="1" x14ac:dyDescent="0.35">
      <c r="A409" s="383"/>
      <c r="B409" s="384"/>
      <c r="C409" s="385"/>
      <c r="D409" s="386"/>
      <c r="E409" s="387"/>
      <c r="F409" s="410"/>
      <c r="G409" s="387"/>
    </row>
    <row r="410" spans="1:7" s="160" customFormat="1" x14ac:dyDescent="0.35">
      <c r="A410" s="388"/>
      <c r="B410" s="389"/>
      <c r="C410" s="390"/>
      <c r="D410" s="391"/>
      <c r="E410" s="391"/>
      <c r="F410" s="393" t="s">
        <v>2</v>
      </c>
      <c r="G410" s="393"/>
    </row>
    <row r="411" spans="1:7" s="160" customFormat="1" ht="24" thickBot="1" x14ac:dyDescent="0.4">
      <c r="A411" s="394"/>
      <c r="B411" s="395"/>
      <c r="C411" s="396" t="s">
        <v>753</v>
      </c>
      <c r="D411" s="397" t="s">
        <v>3</v>
      </c>
      <c r="E411" s="397" t="s">
        <v>1</v>
      </c>
      <c r="F411" s="397" t="s">
        <v>4</v>
      </c>
      <c r="G411" s="397" t="s">
        <v>5</v>
      </c>
    </row>
    <row r="412" spans="1:7" s="160" customFormat="1" ht="18" customHeight="1" x14ac:dyDescent="0.35">
      <c r="A412" s="398"/>
      <c r="B412" s="399"/>
      <c r="C412" s="400"/>
      <c r="D412" s="409"/>
      <c r="E412" s="401"/>
      <c r="F412" s="411"/>
      <c r="G412" s="402">
        <f t="shared" ref="G412:G438" si="35">ROUND(D412*F412,2)</f>
        <v>0</v>
      </c>
    </row>
    <row r="413" spans="1:7" s="160" customFormat="1" x14ac:dyDescent="0.35">
      <c r="A413" s="398"/>
      <c r="B413" s="399"/>
      <c r="C413" s="412" t="s">
        <v>835</v>
      </c>
      <c r="D413" s="409"/>
      <c r="E413" s="401"/>
      <c r="F413" s="411"/>
      <c r="G413" s="402">
        <f t="shared" si="35"/>
        <v>0</v>
      </c>
    </row>
    <row r="414" spans="1:7" s="160" customFormat="1" x14ac:dyDescent="0.35">
      <c r="A414" s="398"/>
      <c r="B414" s="399"/>
      <c r="C414" s="400"/>
      <c r="D414" s="409"/>
      <c r="E414" s="401"/>
      <c r="F414" s="411"/>
      <c r="G414" s="402">
        <f t="shared" si="35"/>
        <v>0</v>
      </c>
    </row>
    <row r="415" spans="1:7" s="160" customFormat="1" ht="46.5" x14ac:dyDescent="0.35">
      <c r="A415" s="398"/>
      <c r="B415" s="399"/>
      <c r="C415" s="400" t="s">
        <v>833</v>
      </c>
      <c r="D415" s="409">
        <v>130</v>
      </c>
      <c r="E415" s="401" t="s">
        <v>772</v>
      </c>
      <c r="F415" s="411"/>
      <c r="G415" s="402">
        <f t="shared" ref="G415:G430" si="36">D415*F415</f>
        <v>0</v>
      </c>
    </row>
    <row r="416" spans="1:7" s="160" customFormat="1" x14ac:dyDescent="0.35">
      <c r="A416" s="398"/>
      <c r="B416" s="399"/>
      <c r="C416" s="400"/>
      <c r="D416" s="409"/>
      <c r="E416" s="401"/>
      <c r="F416" s="411"/>
      <c r="G416" s="402">
        <f t="shared" si="36"/>
        <v>0</v>
      </c>
    </row>
    <row r="417" spans="1:7" s="160" customFormat="1" ht="46.5" x14ac:dyDescent="0.35">
      <c r="A417" s="398"/>
      <c r="B417" s="399"/>
      <c r="C417" s="400" t="s">
        <v>894</v>
      </c>
      <c r="D417" s="409">
        <v>130</v>
      </c>
      <c r="E417" s="401" t="s">
        <v>772</v>
      </c>
      <c r="F417" s="411"/>
      <c r="G417" s="402">
        <f t="shared" si="36"/>
        <v>0</v>
      </c>
    </row>
    <row r="418" spans="1:7" s="160" customFormat="1" x14ac:dyDescent="0.35">
      <c r="A418" s="398"/>
      <c r="B418" s="399"/>
      <c r="C418" s="400"/>
      <c r="D418" s="409"/>
      <c r="E418" s="401"/>
      <c r="F418" s="411"/>
      <c r="G418" s="402">
        <f t="shared" si="36"/>
        <v>0</v>
      </c>
    </row>
    <row r="419" spans="1:7" s="160" customFormat="1" ht="69.75" x14ac:dyDescent="0.35">
      <c r="A419" s="398"/>
      <c r="B419" s="399"/>
      <c r="C419" s="400" t="s">
        <v>895</v>
      </c>
      <c r="D419" s="409">
        <v>94</v>
      </c>
      <c r="E419" s="401" t="s">
        <v>26</v>
      </c>
      <c r="F419" s="411"/>
      <c r="G419" s="402">
        <f t="shared" si="36"/>
        <v>0</v>
      </c>
    </row>
    <row r="420" spans="1:7" s="160" customFormat="1" x14ac:dyDescent="0.35">
      <c r="A420" s="398"/>
      <c r="B420" s="399"/>
      <c r="C420" s="400"/>
      <c r="D420" s="409"/>
      <c r="E420" s="401"/>
      <c r="F420" s="411"/>
      <c r="G420" s="402">
        <f t="shared" si="36"/>
        <v>0</v>
      </c>
    </row>
    <row r="421" spans="1:7" s="160" customFormat="1" ht="46.5" x14ac:dyDescent="0.35">
      <c r="A421" s="398"/>
      <c r="B421" s="399"/>
      <c r="C421" s="400" t="s">
        <v>896</v>
      </c>
      <c r="D421" s="409">
        <v>76</v>
      </c>
      <c r="E421" s="401" t="s">
        <v>772</v>
      </c>
      <c r="F421" s="411"/>
      <c r="G421" s="402">
        <f t="shared" si="36"/>
        <v>0</v>
      </c>
    </row>
    <row r="422" spans="1:7" s="160" customFormat="1" x14ac:dyDescent="0.35">
      <c r="A422" s="398"/>
      <c r="B422" s="399"/>
      <c r="C422" s="400"/>
      <c r="D422" s="409"/>
      <c r="E422" s="401"/>
      <c r="F422" s="411"/>
      <c r="G422" s="402">
        <f t="shared" si="36"/>
        <v>0</v>
      </c>
    </row>
    <row r="423" spans="1:7" s="160" customFormat="1" ht="119.25" x14ac:dyDescent="0.35">
      <c r="A423" s="398"/>
      <c r="B423" s="399"/>
      <c r="C423" s="400" t="s">
        <v>942</v>
      </c>
      <c r="D423" s="409">
        <v>502</v>
      </c>
      <c r="E423" s="401" t="s">
        <v>772</v>
      </c>
      <c r="F423" s="411"/>
      <c r="G423" s="402">
        <f t="shared" si="36"/>
        <v>0</v>
      </c>
    </row>
    <row r="424" spans="1:7" s="160" customFormat="1" x14ac:dyDescent="0.35">
      <c r="A424" s="398"/>
      <c r="B424" s="399"/>
      <c r="C424" s="400"/>
      <c r="D424" s="409"/>
      <c r="E424" s="401"/>
      <c r="F424" s="411"/>
      <c r="G424" s="402">
        <f t="shared" si="36"/>
        <v>0</v>
      </c>
    </row>
    <row r="425" spans="1:7" s="160" customFormat="1" ht="119.25" x14ac:dyDescent="0.35">
      <c r="A425" s="398"/>
      <c r="B425" s="399"/>
      <c r="C425" s="400" t="s">
        <v>943</v>
      </c>
      <c r="D425" s="409">
        <v>76</v>
      </c>
      <c r="E425" s="401" t="s">
        <v>772</v>
      </c>
      <c r="F425" s="411"/>
      <c r="G425" s="402">
        <f t="shared" si="36"/>
        <v>0</v>
      </c>
    </row>
    <row r="426" spans="1:7" s="160" customFormat="1" x14ac:dyDescent="0.35">
      <c r="A426" s="398"/>
      <c r="B426" s="399"/>
      <c r="C426" s="400"/>
      <c r="D426" s="409"/>
      <c r="E426" s="401"/>
      <c r="F426" s="411"/>
      <c r="G426" s="402">
        <f t="shared" si="36"/>
        <v>0</v>
      </c>
    </row>
    <row r="427" spans="1:7" s="160" customFormat="1" ht="119.25" x14ac:dyDescent="0.35">
      <c r="A427" s="398"/>
      <c r="B427" s="399"/>
      <c r="C427" s="400" t="s">
        <v>837</v>
      </c>
      <c r="D427" s="409">
        <v>348</v>
      </c>
      <c r="E427" s="401" t="s">
        <v>26</v>
      </c>
      <c r="F427" s="411"/>
      <c r="G427" s="402">
        <f t="shared" si="36"/>
        <v>0</v>
      </c>
    </row>
    <row r="428" spans="1:7" s="160" customFormat="1" x14ac:dyDescent="0.35">
      <c r="A428" s="398"/>
      <c r="B428" s="399"/>
      <c r="C428" s="400"/>
      <c r="D428" s="409"/>
      <c r="E428" s="401"/>
      <c r="F428" s="411"/>
      <c r="G428" s="402">
        <f t="shared" si="36"/>
        <v>0</v>
      </c>
    </row>
    <row r="429" spans="1:7" s="160" customFormat="1" ht="142.5" x14ac:dyDescent="0.35">
      <c r="A429" s="398"/>
      <c r="B429" s="399"/>
      <c r="C429" s="400" t="s">
        <v>944</v>
      </c>
      <c r="D429" s="409">
        <v>274</v>
      </c>
      <c r="E429" s="401" t="s">
        <v>772</v>
      </c>
      <c r="F429" s="411"/>
      <c r="G429" s="402">
        <f>D429*F429</f>
        <v>0</v>
      </c>
    </row>
    <row r="430" spans="1:7" s="160" customFormat="1" x14ac:dyDescent="0.35">
      <c r="A430" s="398"/>
      <c r="B430" s="399"/>
      <c r="C430" s="400"/>
      <c r="D430" s="409"/>
      <c r="E430" s="401"/>
      <c r="F430" s="411"/>
      <c r="G430" s="402">
        <f t="shared" si="36"/>
        <v>0</v>
      </c>
    </row>
    <row r="431" spans="1:7" s="160" customFormat="1" x14ac:dyDescent="0.35">
      <c r="A431" s="398"/>
      <c r="B431" s="399"/>
      <c r="C431" s="400"/>
      <c r="D431" s="409"/>
      <c r="E431" s="401"/>
      <c r="F431" s="411"/>
      <c r="G431" s="402">
        <f t="shared" si="35"/>
        <v>0</v>
      </c>
    </row>
    <row r="432" spans="1:7" s="160" customFormat="1" x14ac:dyDescent="0.35">
      <c r="A432" s="398"/>
      <c r="B432" s="399"/>
      <c r="C432" s="400"/>
      <c r="D432" s="409"/>
      <c r="E432" s="401"/>
      <c r="F432" s="411"/>
      <c r="G432" s="402"/>
    </row>
    <row r="433" spans="1:7" s="160" customFormat="1" x14ac:dyDescent="0.35">
      <c r="A433" s="398"/>
      <c r="B433" s="399"/>
      <c r="C433" s="400"/>
      <c r="D433" s="409"/>
      <c r="E433" s="401"/>
      <c r="F433" s="411"/>
      <c r="G433" s="402"/>
    </row>
    <row r="434" spans="1:7" s="160" customFormat="1" ht="24" thickBot="1" x14ac:dyDescent="0.4">
      <c r="A434" s="398"/>
      <c r="B434" s="399"/>
      <c r="C434" s="400"/>
      <c r="D434" s="409"/>
      <c r="E434" s="401"/>
      <c r="F434" s="411"/>
      <c r="G434" s="402"/>
    </row>
    <row r="435" spans="1:7" s="160" customFormat="1" ht="24" thickBot="1" x14ac:dyDescent="0.4">
      <c r="A435" s="398"/>
      <c r="B435" s="399"/>
      <c r="C435" s="404" t="s">
        <v>760</v>
      </c>
      <c r="D435" s="409"/>
      <c r="E435" s="401"/>
      <c r="F435" s="411"/>
      <c r="G435" s="405">
        <f>SUM(G414:G434)</f>
        <v>0</v>
      </c>
    </row>
    <row r="436" spans="1:7" s="160" customFormat="1" x14ac:dyDescent="0.35">
      <c r="A436" s="398"/>
      <c r="B436" s="399"/>
      <c r="C436" s="400"/>
      <c r="D436" s="409"/>
      <c r="E436" s="401"/>
      <c r="F436" s="411"/>
      <c r="G436" s="402"/>
    </row>
    <row r="437" spans="1:7" s="160" customFormat="1" x14ac:dyDescent="0.35">
      <c r="A437" s="398"/>
      <c r="B437" s="399"/>
      <c r="C437" s="400"/>
      <c r="D437" s="409"/>
      <c r="E437" s="401"/>
      <c r="F437" s="411"/>
      <c r="G437" s="402">
        <f t="shared" si="35"/>
        <v>0</v>
      </c>
    </row>
    <row r="438" spans="1:7" s="160" customFormat="1" ht="24" thickBot="1" x14ac:dyDescent="0.4">
      <c r="A438" s="398"/>
      <c r="B438" s="399"/>
      <c r="C438" s="400"/>
      <c r="D438" s="409"/>
      <c r="E438" s="401"/>
      <c r="F438" s="411"/>
      <c r="G438" s="402">
        <f t="shared" si="35"/>
        <v>0</v>
      </c>
    </row>
    <row r="439" spans="1:7" ht="18.75" customHeight="1" x14ac:dyDescent="0.35">
      <c r="A439" s="383"/>
      <c r="B439" s="384"/>
      <c r="C439" s="385"/>
      <c r="D439" s="386"/>
      <c r="E439" s="387"/>
      <c r="F439" s="410"/>
      <c r="G439" s="387"/>
    </row>
    <row r="440" spans="1:7" s="160" customFormat="1" x14ac:dyDescent="0.35">
      <c r="A440" s="388"/>
      <c r="B440" s="389"/>
      <c r="C440" s="390"/>
      <c r="D440" s="391"/>
      <c r="E440" s="391"/>
      <c r="F440" s="393" t="s">
        <v>2</v>
      </c>
      <c r="G440" s="393"/>
    </row>
    <row r="441" spans="1:7" s="160" customFormat="1" ht="24" thickBot="1" x14ac:dyDescent="0.4">
      <c r="A441" s="394"/>
      <c r="B441" s="395"/>
      <c r="C441" s="396" t="s">
        <v>753</v>
      </c>
      <c r="D441" s="397" t="s">
        <v>3</v>
      </c>
      <c r="E441" s="397" t="s">
        <v>1</v>
      </c>
      <c r="F441" s="397" t="s">
        <v>4</v>
      </c>
      <c r="G441" s="397" t="s">
        <v>5</v>
      </c>
    </row>
    <row r="442" spans="1:7" s="160" customFormat="1" ht="18" customHeight="1" x14ac:dyDescent="0.35">
      <c r="A442" s="398"/>
      <c r="B442" s="399"/>
      <c r="C442" s="400"/>
      <c r="D442" s="409"/>
      <c r="E442" s="401"/>
      <c r="F442" s="411"/>
      <c r="G442" s="402">
        <f t="shared" ref="G442:G443" si="37">ROUND(D442*F442,2)</f>
        <v>0</v>
      </c>
    </row>
    <row r="443" spans="1:7" s="160" customFormat="1" x14ac:dyDescent="0.35">
      <c r="A443" s="398"/>
      <c r="B443" s="399"/>
      <c r="C443" s="412" t="s">
        <v>836</v>
      </c>
      <c r="D443" s="409"/>
      <c r="E443" s="401"/>
      <c r="F443" s="411"/>
      <c r="G443" s="402">
        <f t="shared" si="37"/>
        <v>0</v>
      </c>
    </row>
    <row r="444" spans="1:7" s="160" customFormat="1" x14ac:dyDescent="0.35">
      <c r="A444" s="398"/>
      <c r="B444" s="399"/>
      <c r="C444" s="400"/>
      <c r="D444" s="409"/>
      <c r="E444" s="401"/>
      <c r="F444" s="411"/>
      <c r="G444" s="402">
        <f t="shared" ref="G444:G460" si="38">D444*F444</f>
        <v>0</v>
      </c>
    </row>
    <row r="445" spans="1:7" s="160" customFormat="1" ht="119.25" x14ac:dyDescent="0.35">
      <c r="A445" s="398"/>
      <c r="B445" s="399"/>
      <c r="C445" s="400" t="s">
        <v>945</v>
      </c>
      <c r="D445" s="409">
        <v>28</v>
      </c>
      <c r="E445" s="401" t="s">
        <v>26</v>
      </c>
      <c r="F445" s="411"/>
      <c r="G445" s="402">
        <f t="shared" si="38"/>
        <v>0</v>
      </c>
    </row>
    <row r="446" spans="1:7" s="160" customFormat="1" x14ac:dyDescent="0.35">
      <c r="A446" s="398"/>
      <c r="B446" s="399"/>
      <c r="C446" s="400"/>
      <c r="D446" s="409"/>
      <c r="E446" s="401"/>
      <c r="F446" s="411"/>
      <c r="G446" s="402">
        <f t="shared" si="38"/>
        <v>0</v>
      </c>
    </row>
    <row r="447" spans="1:7" s="160" customFormat="1" ht="119.25" x14ac:dyDescent="0.35">
      <c r="A447" s="398"/>
      <c r="B447" s="399"/>
      <c r="C447" s="400" t="s">
        <v>946</v>
      </c>
      <c r="D447" s="409">
        <v>36</v>
      </c>
      <c r="E447" s="401" t="s">
        <v>26</v>
      </c>
      <c r="F447" s="411"/>
      <c r="G447" s="402">
        <f t="shared" si="38"/>
        <v>0</v>
      </c>
    </row>
    <row r="448" spans="1:7" s="160" customFormat="1" x14ac:dyDescent="0.35">
      <c r="A448" s="398"/>
      <c r="B448" s="399"/>
      <c r="C448" s="400"/>
      <c r="D448" s="409"/>
      <c r="E448" s="401"/>
      <c r="F448" s="411"/>
      <c r="G448" s="402">
        <f t="shared" si="38"/>
        <v>0</v>
      </c>
    </row>
    <row r="449" spans="1:7" s="160" customFormat="1" ht="119.25" x14ac:dyDescent="0.35">
      <c r="A449" s="398"/>
      <c r="B449" s="399"/>
      <c r="C449" s="400" t="s">
        <v>947</v>
      </c>
      <c r="D449" s="409">
        <v>12</v>
      </c>
      <c r="E449" s="401" t="s">
        <v>26</v>
      </c>
      <c r="F449" s="411"/>
      <c r="G449" s="402">
        <f t="shared" si="38"/>
        <v>0</v>
      </c>
    </row>
    <row r="450" spans="1:7" s="160" customFormat="1" x14ac:dyDescent="0.35">
      <c r="A450" s="398"/>
      <c r="B450" s="399"/>
      <c r="C450" s="400"/>
      <c r="D450" s="409"/>
      <c r="E450" s="401"/>
      <c r="F450" s="411"/>
      <c r="G450" s="402">
        <f t="shared" si="38"/>
        <v>0</v>
      </c>
    </row>
    <row r="451" spans="1:7" s="160" customFormat="1" ht="119.25" x14ac:dyDescent="0.35">
      <c r="A451" s="398"/>
      <c r="B451" s="399"/>
      <c r="C451" s="400" t="s">
        <v>948</v>
      </c>
      <c r="D451" s="409">
        <v>60</v>
      </c>
      <c r="E451" s="401" t="s">
        <v>26</v>
      </c>
      <c r="F451" s="411"/>
      <c r="G451" s="402">
        <f t="shared" si="38"/>
        <v>0</v>
      </c>
    </row>
    <row r="452" spans="1:7" s="160" customFormat="1" x14ac:dyDescent="0.35">
      <c r="A452" s="398"/>
      <c r="B452" s="399"/>
      <c r="C452" s="400"/>
      <c r="D452" s="409"/>
      <c r="E452" s="401"/>
      <c r="F452" s="411"/>
      <c r="G452" s="402">
        <f t="shared" si="38"/>
        <v>0</v>
      </c>
    </row>
    <row r="453" spans="1:7" s="160" customFormat="1" ht="119.25" x14ac:dyDescent="0.35">
      <c r="A453" s="398"/>
      <c r="B453" s="399"/>
      <c r="C453" s="400" t="s">
        <v>897</v>
      </c>
      <c r="D453" s="409">
        <v>36</v>
      </c>
      <c r="E453" s="401" t="s">
        <v>26</v>
      </c>
      <c r="F453" s="411"/>
      <c r="G453" s="402">
        <f t="shared" si="38"/>
        <v>0</v>
      </c>
    </row>
    <row r="454" spans="1:7" s="160" customFormat="1" x14ac:dyDescent="0.35">
      <c r="A454" s="398"/>
      <c r="B454" s="399"/>
      <c r="C454" s="400"/>
      <c r="D454" s="409"/>
      <c r="E454" s="401"/>
      <c r="F454" s="411"/>
      <c r="G454" s="402">
        <f t="shared" si="38"/>
        <v>0</v>
      </c>
    </row>
    <row r="455" spans="1:7" s="160" customFormat="1" ht="96" x14ac:dyDescent="0.35">
      <c r="A455" s="398"/>
      <c r="B455" s="399"/>
      <c r="C455" s="400" t="s">
        <v>838</v>
      </c>
      <c r="D455" s="409">
        <v>56</v>
      </c>
      <c r="E455" s="401" t="s">
        <v>26</v>
      </c>
      <c r="F455" s="411"/>
      <c r="G455" s="402">
        <f t="shared" si="38"/>
        <v>0</v>
      </c>
    </row>
    <row r="456" spans="1:7" s="160" customFormat="1" x14ac:dyDescent="0.35">
      <c r="A456" s="398"/>
      <c r="B456" s="399"/>
      <c r="C456" s="400"/>
      <c r="D456" s="409"/>
      <c r="E456" s="401"/>
      <c r="F456" s="411"/>
      <c r="G456" s="402">
        <f t="shared" si="38"/>
        <v>0</v>
      </c>
    </row>
    <row r="457" spans="1:7" s="160" customFormat="1" ht="142.5" x14ac:dyDescent="0.35">
      <c r="A457" s="398"/>
      <c r="B457" s="399"/>
      <c r="C457" s="400" t="s">
        <v>898</v>
      </c>
      <c r="D457" s="409">
        <v>72</v>
      </c>
      <c r="E457" s="401" t="s">
        <v>26</v>
      </c>
      <c r="F457" s="411"/>
      <c r="G457" s="402">
        <f t="shared" si="38"/>
        <v>0</v>
      </c>
    </row>
    <row r="458" spans="1:7" s="160" customFormat="1" x14ac:dyDescent="0.35">
      <c r="A458" s="398"/>
      <c r="B458" s="399"/>
      <c r="C458" s="400"/>
      <c r="D458" s="409"/>
      <c r="E458" s="401"/>
      <c r="F458" s="411"/>
      <c r="G458" s="402"/>
    </row>
    <row r="459" spans="1:7" s="160" customFormat="1" x14ac:dyDescent="0.35">
      <c r="A459" s="398"/>
      <c r="B459" s="399"/>
      <c r="C459" s="400"/>
      <c r="D459" s="409"/>
      <c r="E459" s="401"/>
      <c r="F459" s="411"/>
      <c r="G459" s="402"/>
    </row>
    <row r="460" spans="1:7" s="160" customFormat="1" ht="24" thickBot="1" x14ac:dyDescent="0.4">
      <c r="A460" s="398"/>
      <c r="B460" s="399"/>
      <c r="C460" s="400"/>
      <c r="D460" s="409"/>
      <c r="E460" s="401"/>
      <c r="F460" s="411"/>
      <c r="G460" s="402">
        <f t="shared" si="38"/>
        <v>0</v>
      </c>
    </row>
    <row r="461" spans="1:7" s="160" customFormat="1" ht="24" thickBot="1" x14ac:dyDescent="0.4">
      <c r="A461" s="398"/>
      <c r="B461" s="399"/>
      <c r="C461" s="404" t="s">
        <v>760</v>
      </c>
      <c r="D461" s="409"/>
      <c r="E461" s="401"/>
      <c r="F461" s="411"/>
      <c r="G461" s="405">
        <f>SUM(G443:G460)</f>
        <v>0</v>
      </c>
    </row>
    <row r="462" spans="1:7" ht="18.75" customHeight="1" x14ac:dyDescent="0.35">
      <c r="A462" s="383"/>
      <c r="B462" s="384"/>
      <c r="C462" s="385"/>
      <c r="D462" s="386"/>
      <c r="E462" s="387"/>
      <c r="F462" s="410"/>
      <c r="G462" s="387"/>
    </row>
    <row r="463" spans="1:7" s="160" customFormat="1" x14ac:dyDescent="0.35">
      <c r="A463" s="388"/>
      <c r="B463" s="389"/>
      <c r="C463" s="390"/>
      <c r="D463" s="391"/>
      <c r="E463" s="391"/>
      <c r="F463" s="393" t="s">
        <v>2</v>
      </c>
      <c r="G463" s="393"/>
    </row>
    <row r="464" spans="1:7" s="160" customFormat="1" ht="24" thickBot="1" x14ac:dyDescent="0.4">
      <c r="A464" s="394"/>
      <c r="B464" s="395"/>
      <c r="C464" s="396" t="s">
        <v>753</v>
      </c>
      <c r="D464" s="397" t="s">
        <v>3</v>
      </c>
      <c r="E464" s="397" t="s">
        <v>1</v>
      </c>
      <c r="F464" s="397" t="s">
        <v>4</v>
      </c>
      <c r="G464" s="397" t="s">
        <v>5</v>
      </c>
    </row>
    <row r="465" spans="1:7" s="160" customFormat="1" ht="18" customHeight="1" x14ac:dyDescent="0.35">
      <c r="A465" s="398"/>
      <c r="B465" s="399"/>
      <c r="C465" s="400"/>
      <c r="D465" s="409"/>
      <c r="E465" s="401"/>
      <c r="F465" s="411"/>
      <c r="G465" s="402">
        <f t="shared" ref="G465:G466" si="39">ROUND(D465*F465,2)</f>
        <v>0</v>
      </c>
    </row>
    <row r="466" spans="1:7" s="160" customFormat="1" x14ac:dyDescent="0.35">
      <c r="A466" s="398"/>
      <c r="B466" s="399"/>
      <c r="C466" s="412" t="s">
        <v>798</v>
      </c>
      <c r="D466" s="409"/>
      <c r="E466" s="401"/>
      <c r="F466" s="411"/>
      <c r="G466" s="402">
        <f t="shared" si="39"/>
        <v>0</v>
      </c>
    </row>
    <row r="467" spans="1:7" s="160" customFormat="1" x14ac:dyDescent="0.35">
      <c r="A467" s="398"/>
      <c r="B467" s="399"/>
      <c r="C467" s="400"/>
      <c r="D467" s="409"/>
      <c r="E467" s="401"/>
      <c r="F467" s="411"/>
      <c r="G467" s="402">
        <f t="shared" ref="G467:G475" si="40">D467*F467</f>
        <v>0</v>
      </c>
    </row>
    <row r="468" spans="1:7" s="160" customFormat="1" ht="139.5" x14ac:dyDescent="0.35">
      <c r="A468" s="398"/>
      <c r="B468" s="399"/>
      <c r="C468" s="400" t="s">
        <v>844</v>
      </c>
      <c r="D468" s="409">
        <v>72</v>
      </c>
      <c r="E468" s="401" t="s">
        <v>26</v>
      </c>
      <c r="F468" s="411"/>
      <c r="G468" s="402">
        <f t="shared" si="40"/>
        <v>0</v>
      </c>
    </row>
    <row r="469" spans="1:7" s="160" customFormat="1" x14ac:dyDescent="0.35">
      <c r="A469" s="398"/>
      <c r="B469" s="399"/>
      <c r="C469" s="400"/>
      <c r="D469" s="409"/>
      <c r="E469" s="401"/>
      <c r="F469" s="411"/>
      <c r="G469" s="402">
        <f t="shared" si="40"/>
        <v>0</v>
      </c>
    </row>
    <row r="470" spans="1:7" s="160" customFormat="1" ht="116.25" x14ac:dyDescent="0.35">
      <c r="A470" s="398"/>
      <c r="B470" s="399"/>
      <c r="C470" s="400" t="s">
        <v>845</v>
      </c>
      <c r="D470" s="409">
        <v>6</v>
      </c>
      <c r="E470" s="401" t="s">
        <v>761</v>
      </c>
      <c r="F470" s="411"/>
      <c r="G470" s="402">
        <f t="shared" si="40"/>
        <v>0</v>
      </c>
    </row>
    <row r="471" spans="1:7" s="160" customFormat="1" x14ac:dyDescent="0.35">
      <c r="A471" s="398"/>
      <c r="B471" s="399"/>
      <c r="C471" s="400"/>
      <c r="D471" s="409"/>
      <c r="E471" s="401"/>
      <c r="F471" s="411"/>
      <c r="G471" s="402">
        <f t="shared" si="40"/>
        <v>0</v>
      </c>
    </row>
    <row r="472" spans="1:7" s="160" customFormat="1" x14ac:dyDescent="0.35">
      <c r="A472" s="398"/>
      <c r="B472" s="399"/>
      <c r="C472" s="400"/>
      <c r="D472" s="409"/>
      <c r="E472" s="401"/>
      <c r="F472" s="411"/>
      <c r="G472" s="402">
        <f t="shared" si="40"/>
        <v>0</v>
      </c>
    </row>
    <row r="473" spans="1:7" s="160" customFormat="1" x14ac:dyDescent="0.35">
      <c r="A473" s="398"/>
      <c r="B473" s="399"/>
      <c r="C473" s="400"/>
      <c r="D473" s="409"/>
      <c r="E473" s="401"/>
      <c r="F473" s="411"/>
      <c r="G473" s="402">
        <f t="shared" si="40"/>
        <v>0</v>
      </c>
    </row>
    <row r="474" spans="1:7" s="160" customFormat="1" x14ac:dyDescent="0.35">
      <c r="A474" s="398"/>
      <c r="B474" s="399"/>
      <c r="C474" s="400"/>
      <c r="D474" s="409"/>
      <c r="E474" s="401"/>
      <c r="F474" s="411"/>
      <c r="G474" s="402">
        <f t="shared" si="40"/>
        <v>0</v>
      </c>
    </row>
    <row r="475" spans="1:7" s="160" customFormat="1" x14ac:dyDescent="0.35">
      <c r="A475" s="398"/>
      <c r="B475" s="399"/>
      <c r="C475" s="400"/>
      <c r="D475" s="409"/>
      <c r="E475" s="401"/>
      <c r="F475" s="411"/>
      <c r="G475" s="402">
        <f t="shared" si="40"/>
        <v>0</v>
      </c>
    </row>
    <row r="476" spans="1:7" s="160" customFormat="1" x14ac:dyDescent="0.35">
      <c r="A476" s="398"/>
      <c r="B476" s="399"/>
      <c r="C476" s="400"/>
      <c r="D476" s="409"/>
      <c r="E476" s="401"/>
      <c r="F476" s="411"/>
      <c r="G476" s="402">
        <f t="shared" ref="G476:G501" si="41">ROUND(D476*F476,2)</f>
        <v>0</v>
      </c>
    </row>
    <row r="477" spans="1:7" s="160" customFormat="1" x14ac:dyDescent="0.35">
      <c r="A477" s="398"/>
      <c r="B477" s="399"/>
      <c r="C477" s="400"/>
      <c r="D477" s="409"/>
      <c r="E477" s="401"/>
      <c r="F477" s="411"/>
      <c r="G477" s="402">
        <f t="shared" si="41"/>
        <v>0</v>
      </c>
    </row>
    <row r="478" spans="1:7" s="160" customFormat="1" x14ac:dyDescent="0.35">
      <c r="A478" s="398"/>
      <c r="B478" s="399"/>
      <c r="C478" s="400"/>
      <c r="D478" s="409"/>
      <c r="E478" s="401"/>
      <c r="F478" s="411"/>
      <c r="G478" s="402">
        <f t="shared" si="41"/>
        <v>0</v>
      </c>
    </row>
    <row r="479" spans="1:7" s="160" customFormat="1" x14ac:dyDescent="0.35">
      <c r="A479" s="398"/>
      <c r="B479" s="399"/>
      <c r="C479" s="400"/>
      <c r="D479" s="409"/>
      <c r="E479" s="401"/>
      <c r="F479" s="411"/>
      <c r="G479" s="402">
        <f t="shared" si="41"/>
        <v>0</v>
      </c>
    </row>
    <row r="480" spans="1:7" s="160" customFormat="1" x14ac:dyDescent="0.35">
      <c r="A480" s="398"/>
      <c r="B480" s="399"/>
      <c r="C480" s="400"/>
      <c r="D480" s="409"/>
      <c r="E480" s="401"/>
      <c r="F480" s="411"/>
      <c r="G480" s="402">
        <f t="shared" si="41"/>
        <v>0</v>
      </c>
    </row>
    <row r="481" spans="1:7" s="160" customFormat="1" x14ac:dyDescent="0.35">
      <c r="A481" s="398"/>
      <c r="B481" s="399"/>
      <c r="C481" s="400"/>
      <c r="D481" s="409"/>
      <c r="E481" s="401"/>
      <c r="F481" s="411"/>
      <c r="G481" s="402">
        <f t="shared" si="41"/>
        <v>0</v>
      </c>
    </row>
    <row r="482" spans="1:7" s="160" customFormat="1" x14ac:dyDescent="0.35">
      <c r="A482" s="398"/>
      <c r="B482" s="399"/>
      <c r="C482" s="400"/>
      <c r="D482" s="409"/>
      <c r="E482" s="401"/>
      <c r="F482" s="411"/>
      <c r="G482" s="402">
        <f t="shared" si="41"/>
        <v>0</v>
      </c>
    </row>
    <row r="483" spans="1:7" s="160" customFormat="1" x14ac:dyDescent="0.35">
      <c r="A483" s="398"/>
      <c r="B483" s="399"/>
      <c r="C483" s="400"/>
      <c r="D483" s="409"/>
      <c r="E483" s="401"/>
      <c r="F483" s="411"/>
      <c r="G483" s="402">
        <f t="shared" si="41"/>
        <v>0</v>
      </c>
    </row>
    <row r="484" spans="1:7" s="160" customFormat="1" x14ac:dyDescent="0.35">
      <c r="A484" s="398"/>
      <c r="B484" s="399"/>
      <c r="C484" s="400"/>
      <c r="D484" s="409"/>
      <c r="E484" s="401"/>
      <c r="F484" s="411"/>
      <c r="G484" s="402">
        <f t="shared" si="41"/>
        <v>0</v>
      </c>
    </row>
    <row r="485" spans="1:7" s="160" customFormat="1" x14ac:dyDescent="0.35">
      <c r="A485" s="398"/>
      <c r="B485" s="399"/>
      <c r="C485" s="400"/>
      <c r="D485" s="409"/>
      <c r="E485" s="401"/>
      <c r="F485" s="411"/>
      <c r="G485" s="402">
        <f t="shared" si="41"/>
        <v>0</v>
      </c>
    </row>
    <row r="486" spans="1:7" s="160" customFormat="1" x14ac:dyDescent="0.35">
      <c r="A486" s="398"/>
      <c r="B486" s="399"/>
      <c r="C486" s="400"/>
      <c r="D486" s="409"/>
      <c r="E486" s="401"/>
      <c r="F486" s="411"/>
      <c r="G486" s="402">
        <f t="shared" si="41"/>
        <v>0</v>
      </c>
    </row>
    <row r="487" spans="1:7" s="160" customFormat="1" x14ac:dyDescent="0.35">
      <c r="A487" s="398"/>
      <c r="B487" s="399"/>
      <c r="C487" s="400"/>
      <c r="D487" s="409"/>
      <c r="E487" s="401"/>
      <c r="F487" s="411"/>
      <c r="G487" s="402">
        <f t="shared" si="41"/>
        <v>0</v>
      </c>
    </row>
    <row r="488" spans="1:7" s="160" customFormat="1" x14ac:dyDescent="0.35">
      <c r="A488" s="398"/>
      <c r="B488" s="399"/>
      <c r="C488" s="400"/>
      <c r="D488" s="409"/>
      <c r="E488" s="401"/>
      <c r="F488" s="411"/>
      <c r="G488" s="402">
        <f t="shared" si="41"/>
        <v>0</v>
      </c>
    </row>
    <row r="489" spans="1:7" s="160" customFormat="1" x14ac:dyDescent="0.35">
      <c r="A489" s="398"/>
      <c r="B489" s="399"/>
      <c r="C489" s="400"/>
      <c r="D489" s="409"/>
      <c r="E489" s="401"/>
      <c r="F489" s="411"/>
      <c r="G489" s="402">
        <f t="shared" si="41"/>
        <v>0</v>
      </c>
    </row>
    <row r="490" spans="1:7" s="160" customFormat="1" x14ac:dyDescent="0.35">
      <c r="A490" s="398"/>
      <c r="B490" s="399"/>
      <c r="C490" s="400"/>
      <c r="D490" s="409"/>
      <c r="E490" s="401"/>
      <c r="F490" s="411"/>
      <c r="G490" s="402">
        <f t="shared" si="41"/>
        <v>0</v>
      </c>
    </row>
    <row r="491" spans="1:7" s="160" customFormat="1" x14ac:dyDescent="0.35">
      <c r="A491" s="398"/>
      <c r="B491" s="399"/>
      <c r="C491" s="400"/>
      <c r="D491" s="409"/>
      <c r="E491" s="401"/>
      <c r="F491" s="411"/>
      <c r="G491" s="402">
        <f t="shared" si="41"/>
        <v>0</v>
      </c>
    </row>
    <row r="492" spans="1:7" s="160" customFormat="1" x14ac:dyDescent="0.35">
      <c r="A492" s="398"/>
      <c r="B492" s="399"/>
      <c r="C492" s="400"/>
      <c r="D492" s="409"/>
      <c r="E492" s="401"/>
      <c r="F492" s="411"/>
      <c r="G492" s="402">
        <f t="shared" si="41"/>
        <v>0</v>
      </c>
    </row>
    <row r="493" spans="1:7" s="160" customFormat="1" ht="24" thickBot="1" x14ac:dyDescent="0.4">
      <c r="A493" s="398"/>
      <c r="B493" s="399"/>
      <c r="C493" s="400"/>
      <c r="D493" s="409"/>
      <c r="E493" s="401"/>
      <c r="F493" s="411"/>
      <c r="G493" s="402">
        <f t="shared" si="41"/>
        <v>0</v>
      </c>
    </row>
    <row r="494" spans="1:7" s="160" customFormat="1" ht="24" thickBot="1" x14ac:dyDescent="0.4">
      <c r="A494" s="398"/>
      <c r="B494" s="399"/>
      <c r="C494" s="404" t="s">
        <v>760</v>
      </c>
      <c r="D494" s="409"/>
      <c r="E494" s="401"/>
      <c r="F494" s="411"/>
      <c r="G494" s="405">
        <f>SUM(G467:G493)</f>
        <v>0</v>
      </c>
    </row>
    <row r="495" spans="1:7" s="160" customFormat="1" x14ac:dyDescent="0.35">
      <c r="A495" s="398"/>
      <c r="B495" s="399"/>
      <c r="C495" s="400"/>
      <c r="D495" s="409"/>
      <c r="E495" s="401"/>
      <c r="F495" s="411"/>
      <c r="G495" s="402">
        <f t="shared" si="41"/>
        <v>0</v>
      </c>
    </row>
    <row r="496" spans="1:7" s="160" customFormat="1" x14ac:dyDescent="0.35">
      <c r="A496" s="398"/>
      <c r="B496" s="399"/>
      <c r="C496" s="400"/>
      <c r="D496" s="409"/>
      <c r="E496" s="401"/>
      <c r="F496" s="411"/>
      <c r="G496" s="402">
        <f t="shared" si="41"/>
        <v>0</v>
      </c>
    </row>
    <row r="497" spans="1:7" s="160" customFormat="1" x14ac:dyDescent="0.35">
      <c r="A497" s="398"/>
      <c r="B497" s="399"/>
      <c r="C497" s="400"/>
      <c r="D497" s="409"/>
      <c r="E497" s="401"/>
      <c r="F497" s="411"/>
      <c r="G497" s="402">
        <f t="shared" si="41"/>
        <v>0</v>
      </c>
    </row>
    <row r="498" spans="1:7" s="160" customFormat="1" x14ac:dyDescent="0.35">
      <c r="A498" s="398"/>
      <c r="B498" s="399"/>
      <c r="C498" s="400"/>
      <c r="D498" s="409"/>
      <c r="E498" s="401"/>
      <c r="F498" s="411"/>
      <c r="G498" s="402">
        <f t="shared" si="41"/>
        <v>0</v>
      </c>
    </row>
    <row r="499" spans="1:7" s="160" customFormat="1" x14ac:dyDescent="0.35">
      <c r="A499" s="398"/>
      <c r="B499" s="399"/>
      <c r="C499" s="400"/>
      <c r="D499" s="409"/>
      <c r="E499" s="401"/>
      <c r="F499" s="411"/>
      <c r="G499" s="402">
        <f t="shared" si="41"/>
        <v>0</v>
      </c>
    </row>
    <row r="500" spans="1:7" s="160" customFormat="1" x14ac:dyDescent="0.35">
      <c r="A500" s="398"/>
      <c r="B500" s="399"/>
      <c r="C500" s="400"/>
      <c r="D500" s="409"/>
      <c r="E500" s="401"/>
      <c r="F500" s="411"/>
      <c r="G500" s="402">
        <f t="shared" si="41"/>
        <v>0</v>
      </c>
    </row>
    <row r="501" spans="1:7" s="160" customFormat="1" ht="24" thickBot="1" x14ac:dyDescent="0.4">
      <c r="A501" s="398"/>
      <c r="B501" s="399"/>
      <c r="C501" s="400"/>
      <c r="D501" s="409"/>
      <c r="E501" s="401"/>
      <c r="F501" s="411"/>
      <c r="G501" s="402">
        <f t="shared" si="41"/>
        <v>0</v>
      </c>
    </row>
    <row r="502" spans="1:7" ht="18.75" customHeight="1" x14ac:dyDescent="0.35">
      <c r="A502" s="383"/>
      <c r="B502" s="384"/>
      <c r="C502" s="385"/>
      <c r="D502" s="386"/>
      <c r="E502" s="387"/>
      <c r="F502" s="410"/>
      <c r="G502" s="387"/>
    </row>
    <row r="503" spans="1:7" s="160" customFormat="1" x14ac:dyDescent="0.35">
      <c r="A503" s="388"/>
      <c r="B503" s="389"/>
      <c r="C503" s="390"/>
      <c r="D503" s="391"/>
      <c r="E503" s="391"/>
      <c r="F503" s="393" t="s">
        <v>2</v>
      </c>
      <c r="G503" s="393"/>
    </row>
    <row r="504" spans="1:7" s="160" customFormat="1" ht="24" thickBot="1" x14ac:dyDescent="0.4">
      <c r="A504" s="394"/>
      <c r="B504" s="395"/>
      <c r="C504" s="396" t="s">
        <v>753</v>
      </c>
      <c r="D504" s="397" t="s">
        <v>3</v>
      </c>
      <c r="E504" s="397" t="s">
        <v>1</v>
      </c>
      <c r="F504" s="397" t="s">
        <v>4</v>
      </c>
      <c r="G504" s="397" t="s">
        <v>5</v>
      </c>
    </row>
    <row r="505" spans="1:7" s="160" customFormat="1" ht="18" customHeight="1" x14ac:dyDescent="0.35">
      <c r="A505" s="398"/>
      <c r="B505" s="399"/>
      <c r="C505" s="400"/>
      <c r="D505" s="409"/>
      <c r="E505" s="401"/>
      <c r="F505" s="411"/>
      <c r="G505" s="402">
        <f t="shared" ref="G505:G506" si="42">ROUND(D505*F505,2)</f>
        <v>0</v>
      </c>
    </row>
    <row r="506" spans="1:7" s="160" customFormat="1" x14ac:dyDescent="0.35">
      <c r="A506" s="398"/>
      <c r="B506" s="399"/>
      <c r="C506" s="412" t="s">
        <v>843</v>
      </c>
      <c r="D506" s="409"/>
      <c r="E506" s="401"/>
      <c r="F506" s="411"/>
      <c r="G506" s="402">
        <f t="shared" si="42"/>
        <v>0</v>
      </c>
    </row>
    <row r="507" spans="1:7" s="160" customFormat="1" x14ac:dyDescent="0.35">
      <c r="A507" s="398"/>
      <c r="B507" s="399"/>
      <c r="C507" s="400"/>
      <c r="D507" s="409"/>
      <c r="E507" s="401"/>
      <c r="F507" s="411"/>
      <c r="G507" s="402">
        <f t="shared" ref="G507:G526" si="43">D507*F507</f>
        <v>0</v>
      </c>
    </row>
    <row r="508" spans="1:7" s="160" customFormat="1" ht="93" x14ac:dyDescent="0.35">
      <c r="A508" s="398"/>
      <c r="B508" s="399"/>
      <c r="C508" s="400" t="s">
        <v>850</v>
      </c>
      <c r="D508" s="409">
        <v>72</v>
      </c>
      <c r="E508" s="401" t="s">
        <v>468</v>
      </c>
      <c r="F508" s="411"/>
      <c r="G508" s="402">
        <f t="shared" si="43"/>
        <v>0</v>
      </c>
    </row>
    <row r="509" spans="1:7" s="160" customFormat="1" x14ac:dyDescent="0.35">
      <c r="A509" s="398"/>
      <c r="B509" s="399"/>
      <c r="C509" s="400"/>
      <c r="D509" s="409"/>
      <c r="E509" s="401"/>
      <c r="F509" s="411"/>
      <c r="G509" s="402">
        <f t="shared" si="43"/>
        <v>0</v>
      </c>
    </row>
    <row r="510" spans="1:7" s="160" customFormat="1" ht="93" x14ac:dyDescent="0.35">
      <c r="A510" s="398"/>
      <c r="B510" s="399"/>
      <c r="C510" s="400" t="s">
        <v>852</v>
      </c>
      <c r="D510" s="409">
        <v>62</v>
      </c>
      <c r="E510" s="401" t="s">
        <v>468</v>
      </c>
      <c r="F510" s="411"/>
      <c r="G510" s="402">
        <f t="shared" si="43"/>
        <v>0</v>
      </c>
    </row>
    <row r="511" spans="1:7" s="160" customFormat="1" x14ac:dyDescent="0.35">
      <c r="A511" s="398"/>
      <c r="B511" s="399"/>
      <c r="C511" s="400"/>
      <c r="D511" s="409"/>
      <c r="E511" s="401"/>
      <c r="F511" s="411"/>
      <c r="G511" s="402">
        <f t="shared" si="43"/>
        <v>0</v>
      </c>
    </row>
    <row r="512" spans="1:7" s="160" customFormat="1" ht="93" x14ac:dyDescent="0.35">
      <c r="A512" s="398"/>
      <c r="B512" s="399"/>
      <c r="C512" s="400" t="s">
        <v>851</v>
      </c>
      <c r="D512" s="409">
        <v>74</v>
      </c>
      <c r="E512" s="401" t="s">
        <v>468</v>
      </c>
      <c r="F512" s="411"/>
      <c r="G512" s="402">
        <f t="shared" si="43"/>
        <v>0</v>
      </c>
    </row>
    <row r="513" spans="1:7" s="160" customFormat="1" x14ac:dyDescent="0.35">
      <c r="A513" s="398"/>
      <c r="B513" s="399"/>
      <c r="C513" s="400"/>
      <c r="D513" s="409"/>
      <c r="E513" s="401"/>
      <c r="F513" s="411"/>
      <c r="G513" s="402">
        <f t="shared" si="43"/>
        <v>0</v>
      </c>
    </row>
    <row r="514" spans="1:7" s="160" customFormat="1" ht="46.5" x14ac:dyDescent="0.35">
      <c r="A514" s="398"/>
      <c r="B514" s="399"/>
      <c r="C514" s="400" t="s">
        <v>849</v>
      </c>
      <c r="D514" s="409">
        <v>6</v>
      </c>
      <c r="E514" s="401" t="s">
        <v>810</v>
      </c>
      <c r="F514" s="411"/>
      <c r="G514" s="402">
        <f t="shared" si="43"/>
        <v>0</v>
      </c>
    </row>
    <row r="515" spans="1:7" s="160" customFormat="1" x14ac:dyDescent="0.35">
      <c r="A515" s="398"/>
      <c r="B515" s="399"/>
      <c r="C515" s="400"/>
      <c r="D515" s="409"/>
      <c r="E515" s="401"/>
      <c r="F515" s="411"/>
      <c r="G515" s="402">
        <f t="shared" si="43"/>
        <v>0</v>
      </c>
    </row>
    <row r="516" spans="1:7" s="160" customFormat="1" ht="69.75" x14ac:dyDescent="0.35">
      <c r="A516" s="398"/>
      <c r="B516" s="399"/>
      <c r="C516" s="400" t="s">
        <v>853</v>
      </c>
      <c r="D516" s="409">
        <v>1060</v>
      </c>
      <c r="E516" s="401" t="s">
        <v>772</v>
      </c>
      <c r="F516" s="411"/>
      <c r="G516" s="402">
        <f t="shared" si="43"/>
        <v>0</v>
      </c>
    </row>
    <row r="517" spans="1:7" s="160" customFormat="1" x14ac:dyDescent="0.35">
      <c r="A517" s="398"/>
      <c r="B517" s="399"/>
      <c r="C517" s="400"/>
      <c r="D517" s="409"/>
      <c r="E517" s="401"/>
      <c r="F517" s="411"/>
      <c r="G517" s="402">
        <f t="shared" si="43"/>
        <v>0</v>
      </c>
    </row>
    <row r="518" spans="1:7" s="160" customFormat="1" ht="69.75" x14ac:dyDescent="0.35">
      <c r="A518" s="398"/>
      <c r="B518" s="399"/>
      <c r="C518" s="400" t="s">
        <v>854</v>
      </c>
      <c r="D518" s="409">
        <v>282</v>
      </c>
      <c r="E518" s="401" t="s">
        <v>772</v>
      </c>
      <c r="F518" s="411"/>
      <c r="G518" s="402">
        <f t="shared" si="43"/>
        <v>0</v>
      </c>
    </row>
    <row r="519" spans="1:7" s="160" customFormat="1" x14ac:dyDescent="0.35">
      <c r="A519" s="398"/>
      <c r="B519" s="399"/>
      <c r="C519" s="400"/>
      <c r="D519" s="409"/>
      <c r="E519" s="401"/>
      <c r="F519" s="411"/>
      <c r="G519" s="402">
        <f t="shared" si="43"/>
        <v>0</v>
      </c>
    </row>
    <row r="520" spans="1:7" s="160" customFormat="1" ht="69.75" x14ac:dyDescent="0.35">
      <c r="A520" s="398"/>
      <c r="B520" s="399"/>
      <c r="C520" s="400" t="s">
        <v>855</v>
      </c>
      <c r="D520" s="409">
        <v>54</v>
      </c>
      <c r="E520" s="401" t="s">
        <v>772</v>
      </c>
      <c r="F520" s="411"/>
      <c r="G520" s="402">
        <f t="shared" si="43"/>
        <v>0</v>
      </c>
    </row>
    <row r="521" spans="1:7" s="160" customFormat="1" x14ac:dyDescent="0.35">
      <c r="A521" s="398"/>
      <c r="B521" s="399"/>
      <c r="C521" s="400"/>
      <c r="D521" s="409"/>
      <c r="E521" s="401"/>
      <c r="F521" s="411"/>
      <c r="G521" s="402">
        <f t="shared" si="43"/>
        <v>0</v>
      </c>
    </row>
    <row r="522" spans="1:7" s="160" customFormat="1" ht="69.75" x14ac:dyDescent="0.35">
      <c r="A522" s="398"/>
      <c r="B522" s="399"/>
      <c r="C522" s="400" t="s">
        <v>856</v>
      </c>
      <c r="D522" s="409">
        <v>176</v>
      </c>
      <c r="E522" s="401" t="s">
        <v>772</v>
      </c>
      <c r="F522" s="411"/>
      <c r="G522" s="402">
        <f>D522*F522</f>
        <v>0</v>
      </c>
    </row>
    <row r="523" spans="1:7" s="160" customFormat="1" x14ac:dyDescent="0.35">
      <c r="A523" s="398"/>
      <c r="B523" s="399"/>
      <c r="C523" s="400"/>
      <c r="D523" s="409"/>
      <c r="E523" s="401"/>
      <c r="F523" s="411"/>
      <c r="G523" s="402">
        <f t="shared" si="43"/>
        <v>0</v>
      </c>
    </row>
    <row r="524" spans="1:7" s="160" customFormat="1" ht="93" x14ac:dyDescent="0.35">
      <c r="A524" s="398"/>
      <c r="B524" s="399"/>
      <c r="C524" s="400" t="s">
        <v>857</v>
      </c>
      <c r="D524" s="409">
        <v>164</v>
      </c>
      <c r="E524" s="401" t="s">
        <v>26</v>
      </c>
      <c r="F524" s="411"/>
      <c r="G524" s="402">
        <f t="shared" si="43"/>
        <v>0</v>
      </c>
    </row>
    <row r="525" spans="1:7" s="160" customFormat="1" x14ac:dyDescent="0.35">
      <c r="A525" s="398"/>
      <c r="B525" s="399"/>
      <c r="C525" s="400"/>
      <c r="D525" s="409"/>
      <c r="E525" s="401"/>
      <c r="F525" s="411"/>
      <c r="G525" s="402">
        <f t="shared" si="43"/>
        <v>0</v>
      </c>
    </row>
    <row r="526" spans="1:7" s="160" customFormat="1" ht="93" x14ac:dyDescent="0.35">
      <c r="A526" s="398"/>
      <c r="B526" s="399"/>
      <c r="C526" s="400" t="s">
        <v>860</v>
      </c>
      <c r="D526" s="409">
        <v>76</v>
      </c>
      <c r="E526" s="401" t="s">
        <v>772</v>
      </c>
      <c r="F526" s="411"/>
      <c r="G526" s="402">
        <f t="shared" si="43"/>
        <v>0</v>
      </c>
    </row>
    <row r="527" spans="1:7" s="160" customFormat="1" ht="24" thickBot="1" x14ac:dyDescent="0.4">
      <c r="A527" s="398"/>
      <c r="B527" s="399"/>
      <c r="C527" s="400"/>
      <c r="D527" s="409"/>
      <c r="E527" s="401"/>
      <c r="F527" s="411"/>
      <c r="G527" s="402">
        <f t="shared" ref="G527:G529" si="44">ROUND(D527*F527,2)</f>
        <v>0</v>
      </c>
    </row>
    <row r="528" spans="1:7" s="160" customFormat="1" ht="24" thickBot="1" x14ac:dyDescent="0.4">
      <c r="A528" s="398"/>
      <c r="B528" s="399"/>
      <c r="C528" s="404" t="s">
        <v>760</v>
      </c>
      <c r="D528" s="409"/>
      <c r="E528" s="401"/>
      <c r="F528" s="411"/>
      <c r="G528" s="405">
        <f>SUM(G507:G527)</f>
        <v>0</v>
      </c>
    </row>
    <row r="529" spans="1:7" s="160" customFormat="1" ht="24" thickBot="1" x14ac:dyDescent="0.4">
      <c r="A529" s="398"/>
      <c r="B529" s="399"/>
      <c r="C529" s="400"/>
      <c r="D529" s="409"/>
      <c r="E529" s="401"/>
      <c r="F529" s="411"/>
      <c r="G529" s="402">
        <f t="shared" si="44"/>
        <v>0</v>
      </c>
    </row>
    <row r="530" spans="1:7" ht="18.75" customHeight="1" x14ac:dyDescent="0.35">
      <c r="A530" s="383"/>
      <c r="B530" s="384"/>
      <c r="C530" s="385"/>
      <c r="D530" s="386"/>
      <c r="E530" s="387"/>
      <c r="F530" s="410"/>
      <c r="G530" s="387"/>
    </row>
    <row r="531" spans="1:7" s="160" customFormat="1" x14ac:dyDescent="0.35">
      <c r="A531" s="388"/>
      <c r="B531" s="389"/>
      <c r="C531" s="390"/>
      <c r="D531" s="391"/>
      <c r="E531" s="391"/>
      <c r="F531" s="393" t="s">
        <v>2</v>
      </c>
      <c r="G531" s="393"/>
    </row>
    <row r="532" spans="1:7" s="160" customFormat="1" ht="24" thickBot="1" x14ac:dyDescent="0.4">
      <c r="A532" s="394"/>
      <c r="B532" s="395"/>
      <c r="C532" s="396" t="s">
        <v>753</v>
      </c>
      <c r="D532" s="397" t="s">
        <v>3</v>
      </c>
      <c r="E532" s="397" t="s">
        <v>1</v>
      </c>
      <c r="F532" s="397" t="s">
        <v>4</v>
      </c>
      <c r="G532" s="397" t="s">
        <v>5</v>
      </c>
    </row>
    <row r="533" spans="1:7" s="160" customFormat="1" ht="18" customHeight="1" x14ac:dyDescent="0.35">
      <c r="A533" s="398"/>
      <c r="B533" s="399"/>
      <c r="C533" s="400"/>
      <c r="D533" s="409"/>
      <c r="E533" s="401"/>
      <c r="F533" s="411"/>
      <c r="G533" s="402">
        <f t="shared" ref="G533:G577" si="45">ROUND(D533*F533,2)</f>
        <v>0</v>
      </c>
    </row>
    <row r="534" spans="1:7" s="160" customFormat="1" ht="46.5" x14ac:dyDescent="0.35">
      <c r="A534" s="398"/>
      <c r="B534" s="399"/>
      <c r="C534" s="412" t="s">
        <v>858</v>
      </c>
      <c r="D534" s="409"/>
      <c r="E534" s="401"/>
      <c r="F534" s="411"/>
      <c r="G534" s="402">
        <f t="shared" si="45"/>
        <v>0</v>
      </c>
    </row>
    <row r="535" spans="1:7" s="160" customFormat="1" x14ac:dyDescent="0.35">
      <c r="A535" s="398"/>
      <c r="B535" s="399"/>
      <c r="C535" s="400"/>
      <c r="D535" s="409"/>
      <c r="E535" s="401"/>
      <c r="F535" s="411"/>
      <c r="G535" s="402">
        <f t="shared" ref="G535:G560" si="46">D535*F535</f>
        <v>0</v>
      </c>
    </row>
    <row r="536" spans="1:7" s="160" customFormat="1" ht="139.5" x14ac:dyDescent="0.35">
      <c r="A536" s="398"/>
      <c r="B536" s="399"/>
      <c r="C536" s="400" t="s">
        <v>859</v>
      </c>
      <c r="D536" s="409">
        <v>278</v>
      </c>
      <c r="E536" s="401" t="s">
        <v>468</v>
      </c>
      <c r="F536" s="411"/>
      <c r="G536" s="402">
        <f t="shared" si="46"/>
        <v>0</v>
      </c>
    </row>
    <row r="537" spans="1:7" s="160" customFormat="1" x14ac:dyDescent="0.35">
      <c r="A537" s="398"/>
      <c r="B537" s="399"/>
      <c r="C537" s="400"/>
      <c r="D537" s="409"/>
      <c r="E537" s="401"/>
      <c r="F537" s="411"/>
      <c r="G537" s="402">
        <f t="shared" si="46"/>
        <v>0</v>
      </c>
    </row>
    <row r="538" spans="1:7" s="160" customFormat="1" ht="46.5" x14ac:dyDescent="0.35">
      <c r="A538" s="398"/>
      <c r="B538" s="399"/>
      <c r="C538" s="400" t="s">
        <v>861</v>
      </c>
      <c r="D538" s="409">
        <v>12</v>
      </c>
      <c r="E538" s="401" t="s">
        <v>761</v>
      </c>
      <c r="F538" s="411"/>
      <c r="G538" s="402">
        <f t="shared" si="46"/>
        <v>0</v>
      </c>
    </row>
    <row r="539" spans="1:7" s="160" customFormat="1" x14ac:dyDescent="0.35">
      <c r="A539" s="398"/>
      <c r="B539" s="399"/>
      <c r="C539" s="400"/>
      <c r="D539" s="409"/>
      <c r="E539" s="401"/>
      <c r="F539" s="411"/>
      <c r="G539" s="402">
        <f t="shared" si="46"/>
        <v>0</v>
      </c>
    </row>
    <row r="540" spans="1:7" s="160" customFormat="1" ht="69.75" x14ac:dyDescent="0.35">
      <c r="A540" s="398"/>
      <c r="B540" s="399"/>
      <c r="C540" s="400" t="s">
        <v>862</v>
      </c>
      <c r="D540" s="409">
        <v>184</v>
      </c>
      <c r="E540" s="401" t="s">
        <v>772</v>
      </c>
      <c r="F540" s="411"/>
      <c r="G540" s="402">
        <f t="shared" si="46"/>
        <v>0</v>
      </c>
    </row>
    <row r="541" spans="1:7" s="160" customFormat="1" x14ac:dyDescent="0.35">
      <c r="A541" s="398"/>
      <c r="B541" s="399"/>
      <c r="C541" s="400"/>
      <c r="D541" s="409"/>
      <c r="E541" s="401"/>
      <c r="F541" s="411"/>
      <c r="G541" s="402">
        <f t="shared" si="46"/>
        <v>0</v>
      </c>
    </row>
    <row r="542" spans="1:7" s="160" customFormat="1" ht="116.25" x14ac:dyDescent="0.35">
      <c r="A542" s="398"/>
      <c r="B542" s="399"/>
      <c r="C542" s="400" t="s">
        <v>903</v>
      </c>
      <c r="D542" s="409">
        <v>600</v>
      </c>
      <c r="E542" s="401" t="s">
        <v>772</v>
      </c>
      <c r="F542" s="411"/>
      <c r="G542" s="402">
        <f t="shared" si="46"/>
        <v>0</v>
      </c>
    </row>
    <row r="543" spans="1:7" s="160" customFormat="1" x14ac:dyDescent="0.35">
      <c r="A543" s="398"/>
      <c r="B543" s="399"/>
      <c r="C543" s="400"/>
      <c r="D543" s="409"/>
      <c r="E543" s="401"/>
      <c r="F543" s="411"/>
      <c r="G543" s="402">
        <f t="shared" si="46"/>
        <v>0</v>
      </c>
    </row>
    <row r="544" spans="1:7" s="160" customFormat="1" x14ac:dyDescent="0.35">
      <c r="A544" s="398"/>
      <c r="B544" s="399"/>
      <c r="C544" s="400"/>
      <c r="D544" s="409"/>
      <c r="E544" s="401"/>
      <c r="F544" s="411"/>
      <c r="G544" s="402">
        <f t="shared" si="46"/>
        <v>0</v>
      </c>
    </row>
    <row r="545" spans="1:7" s="160" customFormat="1" x14ac:dyDescent="0.35">
      <c r="A545" s="398"/>
      <c r="B545" s="399"/>
      <c r="C545" s="400" t="s">
        <v>830</v>
      </c>
      <c r="D545" s="409">
        <v>1</v>
      </c>
      <c r="E545" s="401" t="s">
        <v>819</v>
      </c>
      <c r="F545" s="411"/>
      <c r="G545" s="402">
        <f t="shared" si="46"/>
        <v>0</v>
      </c>
    </row>
    <row r="546" spans="1:7" s="160" customFormat="1" x14ac:dyDescent="0.35">
      <c r="A546" s="398"/>
      <c r="B546" s="399"/>
      <c r="C546" s="400"/>
      <c r="D546" s="409"/>
      <c r="E546" s="401"/>
      <c r="F546" s="411"/>
      <c r="G546" s="402">
        <f t="shared" si="46"/>
        <v>0</v>
      </c>
    </row>
    <row r="547" spans="1:7" s="160" customFormat="1" x14ac:dyDescent="0.35">
      <c r="A547" s="398"/>
      <c r="B547" s="399"/>
      <c r="C547" s="400"/>
      <c r="D547" s="409"/>
      <c r="E547" s="401"/>
      <c r="F547" s="411"/>
      <c r="G547" s="402">
        <f t="shared" si="46"/>
        <v>0</v>
      </c>
    </row>
    <row r="548" spans="1:7" s="160" customFormat="1" x14ac:dyDescent="0.35">
      <c r="A548" s="398"/>
      <c r="B548" s="399"/>
      <c r="C548" s="400"/>
      <c r="D548" s="409"/>
      <c r="E548" s="401"/>
      <c r="F548" s="411"/>
      <c r="G548" s="402">
        <f t="shared" si="46"/>
        <v>0</v>
      </c>
    </row>
    <row r="549" spans="1:7" s="160" customFormat="1" x14ac:dyDescent="0.35">
      <c r="A549" s="398"/>
      <c r="B549" s="399"/>
      <c r="C549" s="400"/>
      <c r="D549" s="409"/>
      <c r="E549" s="401"/>
      <c r="F549" s="411"/>
      <c r="G549" s="402">
        <f t="shared" si="46"/>
        <v>0</v>
      </c>
    </row>
    <row r="550" spans="1:7" s="160" customFormat="1" x14ac:dyDescent="0.35">
      <c r="A550" s="398"/>
      <c r="B550" s="399"/>
      <c r="C550" s="400"/>
      <c r="D550" s="409"/>
      <c r="E550" s="401"/>
      <c r="F550" s="411"/>
      <c r="G550" s="402">
        <f t="shared" si="46"/>
        <v>0</v>
      </c>
    </row>
    <row r="551" spans="1:7" s="160" customFormat="1" x14ac:dyDescent="0.35">
      <c r="A551" s="398"/>
      <c r="B551" s="399"/>
      <c r="C551" s="400"/>
      <c r="D551" s="409"/>
      <c r="E551" s="401"/>
      <c r="F551" s="411"/>
      <c r="G551" s="402">
        <f t="shared" si="46"/>
        <v>0</v>
      </c>
    </row>
    <row r="552" spans="1:7" s="160" customFormat="1" x14ac:dyDescent="0.35">
      <c r="A552" s="398"/>
      <c r="B552" s="399"/>
      <c r="C552" s="400"/>
      <c r="D552" s="409"/>
      <c r="E552" s="401"/>
      <c r="F552" s="411"/>
      <c r="G552" s="402">
        <f t="shared" si="46"/>
        <v>0</v>
      </c>
    </row>
    <row r="553" spans="1:7" s="160" customFormat="1" x14ac:dyDescent="0.35">
      <c r="A553" s="398"/>
      <c r="B553" s="399"/>
      <c r="C553" s="400"/>
      <c r="D553" s="409"/>
      <c r="E553" s="401"/>
      <c r="F553" s="411"/>
      <c r="G553" s="402">
        <f t="shared" si="46"/>
        <v>0</v>
      </c>
    </row>
    <row r="554" spans="1:7" s="160" customFormat="1" x14ac:dyDescent="0.35">
      <c r="A554" s="398"/>
      <c r="B554" s="399"/>
      <c r="C554" s="400"/>
      <c r="D554" s="409"/>
      <c r="E554" s="401"/>
      <c r="F554" s="411"/>
      <c r="G554" s="402">
        <f t="shared" si="46"/>
        <v>0</v>
      </c>
    </row>
    <row r="555" spans="1:7" s="160" customFormat="1" x14ac:dyDescent="0.35">
      <c r="A555" s="398"/>
      <c r="B555" s="399"/>
      <c r="C555" s="400"/>
      <c r="D555" s="409"/>
      <c r="E555" s="401"/>
      <c r="F555" s="411"/>
      <c r="G555" s="402">
        <f t="shared" si="46"/>
        <v>0</v>
      </c>
    </row>
    <row r="556" spans="1:7" s="160" customFormat="1" x14ac:dyDescent="0.35">
      <c r="A556" s="398"/>
      <c r="B556" s="399"/>
      <c r="C556" s="400"/>
      <c r="D556" s="409"/>
      <c r="E556" s="401"/>
      <c r="F556" s="411"/>
      <c r="G556" s="402">
        <f t="shared" si="46"/>
        <v>0</v>
      </c>
    </row>
    <row r="557" spans="1:7" s="160" customFormat="1" ht="24" thickBot="1" x14ac:dyDescent="0.4">
      <c r="A557" s="398"/>
      <c r="B557" s="399"/>
      <c r="C557" s="400"/>
      <c r="D557" s="409"/>
      <c r="E557" s="401"/>
      <c r="F557" s="411"/>
      <c r="G557" s="402">
        <f t="shared" si="46"/>
        <v>0</v>
      </c>
    </row>
    <row r="558" spans="1:7" s="160" customFormat="1" ht="24" thickBot="1" x14ac:dyDescent="0.4">
      <c r="A558" s="398"/>
      <c r="B558" s="399"/>
      <c r="C558" s="404" t="s">
        <v>760</v>
      </c>
      <c r="D558" s="409"/>
      <c r="E558" s="401"/>
      <c r="F558" s="411"/>
      <c r="G558" s="405">
        <f>SUM(G535:G557)</f>
        <v>0</v>
      </c>
    </row>
    <row r="559" spans="1:7" s="160" customFormat="1" x14ac:dyDescent="0.35">
      <c r="A559" s="398"/>
      <c r="B559" s="399"/>
      <c r="C559" s="400"/>
      <c r="D559" s="409"/>
      <c r="E559" s="401"/>
      <c r="F559" s="411"/>
      <c r="G559" s="402">
        <f t="shared" si="46"/>
        <v>0</v>
      </c>
    </row>
    <row r="560" spans="1:7" s="160" customFormat="1" x14ac:dyDescent="0.35">
      <c r="A560" s="398"/>
      <c r="B560" s="399"/>
      <c r="C560" s="400"/>
      <c r="D560" s="409"/>
      <c r="E560" s="401"/>
      <c r="F560" s="411"/>
      <c r="G560" s="402">
        <f t="shared" si="46"/>
        <v>0</v>
      </c>
    </row>
    <row r="561" spans="1:7" s="160" customFormat="1" x14ac:dyDescent="0.35">
      <c r="A561" s="398"/>
      <c r="B561" s="399"/>
      <c r="C561" s="400"/>
      <c r="D561" s="409"/>
      <c r="E561" s="401"/>
      <c r="F561" s="411"/>
      <c r="G561" s="402">
        <f t="shared" si="45"/>
        <v>0</v>
      </c>
    </row>
    <row r="562" spans="1:7" s="160" customFormat="1" x14ac:dyDescent="0.35">
      <c r="A562" s="398"/>
      <c r="B562" s="399"/>
      <c r="C562" s="400"/>
      <c r="D562" s="409"/>
      <c r="E562" s="401"/>
      <c r="F562" s="411"/>
      <c r="G562" s="402">
        <f t="shared" si="45"/>
        <v>0</v>
      </c>
    </row>
    <row r="563" spans="1:7" s="160" customFormat="1" x14ac:dyDescent="0.35">
      <c r="A563" s="398"/>
      <c r="B563" s="399"/>
      <c r="C563" s="400"/>
      <c r="D563" s="409"/>
      <c r="E563" s="401"/>
      <c r="F563" s="411"/>
      <c r="G563" s="402">
        <f t="shared" si="45"/>
        <v>0</v>
      </c>
    </row>
    <row r="564" spans="1:7" s="160" customFormat="1" x14ac:dyDescent="0.35">
      <c r="A564" s="398"/>
      <c r="B564" s="399"/>
      <c r="C564" s="400"/>
      <c r="D564" s="409"/>
      <c r="E564" s="401"/>
      <c r="F564" s="411"/>
      <c r="G564" s="402">
        <f t="shared" si="45"/>
        <v>0</v>
      </c>
    </row>
    <row r="565" spans="1:7" s="160" customFormat="1" x14ac:dyDescent="0.35">
      <c r="A565" s="398"/>
      <c r="B565" s="399"/>
      <c r="C565" s="400"/>
      <c r="D565" s="409"/>
      <c r="E565" s="401"/>
      <c r="F565" s="411"/>
      <c r="G565" s="402">
        <f t="shared" si="45"/>
        <v>0</v>
      </c>
    </row>
    <row r="566" spans="1:7" s="160" customFormat="1" x14ac:dyDescent="0.35">
      <c r="A566" s="398"/>
      <c r="B566" s="399"/>
      <c r="C566" s="400"/>
      <c r="D566" s="409"/>
      <c r="E566" s="401"/>
      <c r="F566" s="411"/>
      <c r="G566" s="402">
        <f t="shared" si="45"/>
        <v>0</v>
      </c>
    </row>
    <row r="567" spans="1:7" s="160" customFormat="1" x14ac:dyDescent="0.35">
      <c r="A567" s="398"/>
      <c r="B567" s="399"/>
      <c r="C567" s="400"/>
      <c r="D567" s="409"/>
      <c r="E567" s="401"/>
      <c r="F567" s="411"/>
      <c r="G567" s="402"/>
    </row>
    <row r="568" spans="1:7" s="160" customFormat="1" x14ac:dyDescent="0.35">
      <c r="A568" s="398"/>
      <c r="B568" s="399"/>
      <c r="C568" s="400"/>
      <c r="D568" s="409"/>
      <c r="E568" s="401"/>
      <c r="F568" s="411"/>
      <c r="G568" s="402"/>
    </row>
    <row r="569" spans="1:7" s="160" customFormat="1" x14ac:dyDescent="0.35">
      <c r="A569" s="398"/>
      <c r="B569" s="399"/>
      <c r="C569" s="400"/>
      <c r="D569" s="409"/>
      <c r="E569" s="401"/>
      <c r="F569" s="411"/>
      <c r="G569" s="402"/>
    </row>
    <row r="570" spans="1:7" s="160" customFormat="1" x14ac:dyDescent="0.35">
      <c r="A570" s="398"/>
      <c r="B570" s="399"/>
      <c r="C570" s="400"/>
      <c r="D570" s="409"/>
      <c r="E570" s="401"/>
      <c r="F570" s="411"/>
      <c r="G570" s="402">
        <f t="shared" si="45"/>
        <v>0</v>
      </c>
    </row>
    <row r="571" spans="1:7" s="160" customFormat="1" ht="24" thickBot="1" x14ac:dyDescent="0.4">
      <c r="A571" s="398"/>
      <c r="B571" s="399"/>
      <c r="C571" s="400"/>
      <c r="D571" s="409"/>
      <c r="E571" s="401"/>
      <c r="F571" s="411"/>
      <c r="G571" s="402">
        <f t="shared" si="45"/>
        <v>0</v>
      </c>
    </row>
    <row r="572" spans="1:7" ht="18.75" customHeight="1" x14ac:dyDescent="0.35">
      <c r="A572" s="383"/>
      <c r="B572" s="384"/>
      <c r="C572" s="385"/>
      <c r="D572" s="386"/>
      <c r="E572" s="387"/>
      <c r="F572" s="410"/>
      <c r="G572" s="387"/>
    </row>
    <row r="573" spans="1:7" s="160" customFormat="1" x14ac:dyDescent="0.35">
      <c r="A573" s="388"/>
      <c r="B573" s="389"/>
      <c r="C573" s="390"/>
      <c r="D573" s="391"/>
      <c r="E573" s="391"/>
      <c r="F573" s="393" t="s">
        <v>2</v>
      </c>
      <c r="G573" s="393"/>
    </row>
    <row r="574" spans="1:7" s="160" customFormat="1" ht="24" thickBot="1" x14ac:dyDescent="0.4">
      <c r="A574" s="394"/>
      <c r="B574" s="395"/>
      <c r="C574" s="396" t="s">
        <v>753</v>
      </c>
      <c r="D574" s="397" t="s">
        <v>3</v>
      </c>
      <c r="E574" s="397" t="s">
        <v>1</v>
      </c>
      <c r="F574" s="397" t="s">
        <v>4</v>
      </c>
      <c r="G574" s="397" t="s">
        <v>5</v>
      </c>
    </row>
    <row r="575" spans="1:7" s="160" customFormat="1" ht="18" customHeight="1" x14ac:dyDescent="0.35">
      <c r="A575" s="398"/>
      <c r="B575" s="399"/>
      <c r="C575" s="400"/>
      <c r="D575" s="409"/>
      <c r="E575" s="401"/>
      <c r="F575" s="411"/>
      <c r="G575" s="402">
        <f t="shared" ref="G575:G576" si="47">ROUND(D575*F575,2)</f>
        <v>0</v>
      </c>
    </row>
    <row r="576" spans="1:7" s="160" customFormat="1" x14ac:dyDescent="0.35">
      <c r="A576" s="398"/>
      <c r="B576" s="399"/>
      <c r="C576" s="412" t="s">
        <v>863</v>
      </c>
      <c r="D576" s="409"/>
      <c r="E576" s="401"/>
      <c r="F576" s="411"/>
      <c r="G576" s="402">
        <f t="shared" si="47"/>
        <v>0</v>
      </c>
    </row>
    <row r="577" spans="1:7" s="160" customFormat="1" x14ac:dyDescent="0.35">
      <c r="A577" s="398"/>
      <c r="B577" s="399"/>
      <c r="C577" s="400"/>
      <c r="D577" s="409"/>
      <c r="E577" s="401"/>
      <c r="F577" s="411"/>
      <c r="G577" s="402">
        <f t="shared" si="45"/>
        <v>0</v>
      </c>
    </row>
    <row r="578" spans="1:7" s="160" customFormat="1" ht="46.5" x14ac:dyDescent="0.35">
      <c r="A578" s="398"/>
      <c r="B578" s="399"/>
      <c r="C578" s="400" t="s">
        <v>899</v>
      </c>
      <c r="D578" s="409">
        <v>6</v>
      </c>
      <c r="E578" s="401" t="s">
        <v>761</v>
      </c>
      <c r="F578" s="411"/>
      <c r="G578" s="402">
        <f t="shared" ref="G578:G600" si="48">D578*F578</f>
        <v>0</v>
      </c>
    </row>
    <row r="579" spans="1:7" s="160" customFormat="1" x14ac:dyDescent="0.35">
      <c r="A579" s="398"/>
      <c r="B579" s="399"/>
      <c r="C579" s="400"/>
      <c r="D579" s="409"/>
      <c r="E579" s="401"/>
      <c r="F579" s="411"/>
      <c r="G579" s="402">
        <f t="shared" si="48"/>
        <v>0</v>
      </c>
    </row>
    <row r="580" spans="1:7" s="160" customFormat="1" ht="46.5" x14ac:dyDescent="0.35">
      <c r="A580" s="398"/>
      <c r="B580" s="399"/>
      <c r="C580" s="400" t="s">
        <v>900</v>
      </c>
      <c r="D580" s="409">
        <v>6</v>
      </c>
      <c r="E580" s="401" t="s">
        <v>761</v>
      </c>
      <c r="F580" s="411"/>
      <c r="G580" s="402">
        <f t="shared" si="48"/>
        <v>0</v>
      </c>
    </row>
    <row r="581" spans="1:7" s="160" customFormat="1" x14ac:dyDescent="0.35">
      <c r="A581" s="398"/>
      <c r="B581" s="399"/>
      <c r="C581" s="400"/>
      <c r="D581" s="409"/>
      <c r="E581" s="401"/>
      <c r="F581" s="411"/>
      <c r="G581" s="402">
        <f t="shared" si="48"/>
        <v>0</v>
      </c>
    </row>
    <row r="582" spans="1:7" s="160" customFormat="1" ht="46.5" x14ac:dyDescent="0.35">
      <c r="A582" s="398"/>
      <c r="B582" s="399"/>
      <c r="C582" s="400" t="s">
        <v>865</v>
      </c>
      <c r="D582" s="409">
        <v>6</v>
      </c>
      <c r="E582" s="401" t="s">
        <v>761</v>
      </c>
      <c r="F582" s="411"/>
      <c r="G582" s="402">
        <f t="shared" si="48"/>
        <v>0</v>
      </c>
    </row>
    <row r="583" spans="1:7" s="160" customFormat="1" x14ac:dyDescent="0.35">
      <c r="A583" s="398"/>
      <c r="B583" s="399"/>
      <c r="C583" s="400"/>
      <c r="D583" s="409"/>
      <c r="E583" s="401"/>
      <c r="F583" s="411"/>
      <c r="G583" s="402">
        <f t="shared" si="48"/>
        <v>0</v>
      </c>
    </row>
    <row r="584" spans="1:7" s="160" customFormat="1" ht="46.5" x14ac:dyDescent="0.35">
      <c r="A584" s="398"/>
      <c r="B584" s="399"/>
      <c r="C584" s="400" t="s">
        <v>866</v>
      </c>
      <c r="D584" s="409">
        <v>12</v>
      </c>
      <c r="E584" s="401" t="s">
        <v>761</v>
      </c>
      <c r="F584" s="411"/>
      <c r="G584" s="402">
        <f t="shared" si="48"/>
        <v>0</v>
      </c>
    </row>
    <row r="585" spans="1:7" s="160" customFormat="1" x14ac:dyDescent="0.35">
      <c r="A585" s="398"/>
      <c r="B585" s="399"/>
      <c r="C585" s="400"/>
      <c r="D585" s="409"/>
      <c r="E585" s="401"/>
      <c r="F585" s="411"/>
      <c r="G585" s="402">
        <f t="shared" si="48"/>
        <v>0</v>
      </c>
    </row>
    <row r="586" spans="1:7" s="160" customFormat="1" ht="46.5" x14ac:dyDescent="0.35">
      <c r="A586" s="398"/>
      <c r="B586" s="399"/>
      <c r="C586" s="400" t="s">
        <v>867</v>
      </c>
      <c r="D586" s="409">
        <v>12</v>
      </c>
      <c r="E586" s="401" t="s">
        <v>761</v>
      </c>
      <c r="F586" s="411"/>
      <c r="G586" s="402">
        <f t="shared" si="48"/>
        <v>0</v>
      </c>
    </row>
    <row r="587" spans="1:7" s="160" customFormat="1" x14ac:dyDescent="0.35">
      <c r="A587" s="398"/>
      <c r="B587" s="399"/>
      <c r="C587" s="400"/>
      <c r="D587" s="409"/>
      <c r="E587" s="401"/>
      <c r="F587" s="411"/>
      <c r="G587" s="402">
        <f t="shared" si="48"/>
        <v>0</v>
      </c>
    </row>
    <row r="588" spans="1:7" s="160" customFormat="1" x14ac:dyDescent="0.35">
      <c r="A588" s="398"/>
      <c r="B588" s="399"/>
      <c r="C588" s="400"/>
      <c r="D588" s="409"/>
      <c r="E588" s="401"/>
      <c r="F588" s="411"/>
      <c r="G588" s="402">
        <f t="shared" si="48"/>
        <v>0</v>
      </c>
    </row>
    <row r="589" spans="1:7" s="160" customFormat="1" x14ac:dyDescent="0.35">
      <c r="A589" s="398"/>
      <c r="B589" s="399"/>
      <c r="C589" s="400"/>
      <c r="D589" s="409"/>
      <c r="E589" s="401"/>
      <c r="F589" s="411"/>
      <c r="G589" s="402">
        <f t="shared" si="48"/>
        <v>0</v>
      </c>
    </row>
    <row r="590" spans="1:7" s="160" customFormat="1" x14ac:dyDescent="0.35">
      <c r="A590" s="398"/>
      <c r="B590" s="399"/>
      <c r="C590" s="400"/>
      <c r="D590" s="409"/>
      <c r="E590" s="401"/>
      <c r="F590" s="411"/>
      <c r="G590" s="402">
        <f t="shared" si="48"/>
        <v>0</v>
      </c>
    </row>
    <row r="591" spans="1:7" s="160" customFormat="1" x14ac:dyDescent="0.35">
      <c r="A591" s="398"/>
      <c r="B591" s="399"/>
      <c r="C591" s="400"/>
      <c r="D591" s="409"/>
      <c r="E591" s="401"/>
      <c r="F591" s="411"/>
      <c r="G591" s="402">
        <f t="shared" si="48"/>
        <v>0</v>
      </c>
    </row>
    <row r="592" spans="1:7" s="160" customFormat="1" x14ac:dyDescent="0.35">
      <c r="A592" s="398"/>
      <c r="B592" s="399"/>
      <c r="C592" s="400"/>
      <c r="D592" s="409"/>
      <c r="E592" s="401"/>
      <c r="F592" s="411"/>
      <c r="G592" s="402">
        <f t="shared" si="48"/>
        <v>0</v>
      </c>
    </row>
    <row r="593" spans="1:7" s="160" customFormat="1" x14ac:dyDescent="0.35">
      <c r="A593" s="398"/>
      <c r="B593" s="399"/>
      <c r="C593" s="400" t="s">
        <v>830</v>
      </c>
      <c r="D593" s="409">
        <v>1</v>
      </c>
      <c r="E593" s="401" t="s">
        <v>819</v>
      </c>
      <c r="F593" s="411"/>
      <c r="G593" s="402">
        <f t="shared" si="48"/>
        <v>0</v>
      </c>
    </row>
    <row r="594" spans="1:7" s="160" customFormat="1" x14ac:dyDescent="0.35">
      <c r="A594" s="398"/>
      <c r="B594" s="399"/>
      <c r="C594" s="400"/>
      <c r="D594" s="409"/>
      <c r="E594" s="401"/>
      <c r="F594" s="411"/>
      <c r="G594" s="402">
        <f t="shared" si="48"/>
        <v>0</v>
      </c>
    </row>
    <row r="595" spans="1:7" s="160" customFormat="1" x14ac:dyDescent="0.35">
      <c r="A595" s="398"/>
      <c r="B595" s="399"/>
      <c r="C595" s="400"/>
      <c r="D595" s="409"/>
      <c r="E595" s="401"/>
      <c r="F595" s="411"/>
      <c r="G595" s="402">
        <f t="shared" si="48"/>
        <v>0</v>
      </c>
    </row>
    <row r="596" spans="1:7" s="160" customFormat="1" x14ac:dyDescent="0.35">
      <c r="A596" s="398"/>
      <c r="B596" s="399"/>
      <c r="C596" s="400"/>
      <c r="D596" s="409"/>
      <c r="E596" s="401"/>
      <c r="F596" s="411"/>
      <c r="G596" s="402">
        <f t="shared" si="48"/>
        <v>0</v>
      </c>
    </row>
    <row r="597" spans="1:7" s="160" customFormat="1" x14ac:dyDescent="0.35">
      <c r="A597" s="398"/>
      <c r="B597" s="399"/>
      <c r="C597" s="400"/>
      <c r="D597" s="409"/>
      <c r="E597" s="401"/>
      <c r="F597" s="411"/>
      <c r="G597" s="402">
        <f t="shared" si="48"/>
        <v>0</v>
      </c>
    </row>
    <row r="598" spans="1:7" s="160" customFormat="1" x14ac:dyDescent="0.35">
      <c r="A598" s="398"/>
      <c r="B598" s="399"/>
      <c r="C598" s="400"/>
      <c r="D598" s="409"/>
      <c r="E598" s="401"/>
      <c r="F598" s="411"/>
      <c r="G598" s="402">
        <f t="shared" si="48"/>
        <v>0</v>
      </c>
    </row>
    <row r="599" spans="1:7" s="160" customFormat="1" x14ac:dyDescent="0.35">
      <c r="A599" s="398"/>
      <c r="B599" s="399"/>
      <c r="C599" s="400"/>
      <c r="D599" s="409"/>
      <c r="E599" s="401"/>
      <c r="F599" s="411"/>
      <c r="G599" s="402">
        <f t="shared" si="48"/>
        <v>0</v>
      </c>
    </row>
    <row r="600" spans="1:7" s="160" customFormat="1" ht="24" thickBot="1" x14ac:dyDescent="0.4">
      <c r="A600" s="398"/>
      <c r="B600" s="399"/>
      <c r="C600" s="400"/>
      <c r="D600" s="409"/>
      <c r="E600" s="401"/>
      <c r="F600" s="411"/>
      <c r="G600" s="402">
        <f t="shared" si="48"/>
        <v>0</v>
      </c>
    </row>
    <row r="601" spans="1:7" s="160" customFormat="1" ht="24" thickBot="1" x14ac:dyDescent="0.4">
      <c r="A601" s="398"/>
      <c r="B601" s="399"/>
      <c r="C601" s="404" t="s">
        <v>760</v>
      </c>
      <c r="D601" s="409"/>
      <c r="E601" s="401"/>
      <c r="F601" s="411"/>
      <c r="G601" s="405">
        <f>SUM(G577:G600)</f>
        <v>0</v>
      </c>
    </row>
    <row r="602" spans="1:7" s="160" customFormat="1" x14ac:dyDescent="0.35">
      <c r="A602" s="398"/>
      <c r="B602" s="399"/>
      <c r="C602" s="400"/>
      <c r="D602" s="409"/>
      <c r="E602" s="401"/>
      <c r="F602" s="411"/>
      <c r="G602" s="402">
        <f t="shared" ref="G602:G617" si="49">ROUND(D602*F602,2)</f>
        <v>0</v>
      </c>
    </row>
    <row r="603" spans="1:7" s="160" customFormat="1" x14ac:dyDescent="0.35">
      <c r="A603" s="398"/>
      <c r="B603" s="399"/>
      <c r="C603" s="400"/>
      <c r="D603" s="409"/>
      <c r="E603" s="401"/>
      <c r="F603" s="411"/>
      <c r="G603" s="402">
        <f t="shared" si="49"/>
        <v>0</v>
      </c>
    </row>
    <row r="604" spans="1:7" s="160" customFormat="1" x14ac:dyDescent="0.35">
      <c r="A604" s="398"/>
      <c r="B604" s="399"/>
      <c r="C604" s="400"/>
      <c r="D604" s="409"/>
      <c r="E604" s="401"/>
      <c r="F604" s="411"/>
      <c r="G604" s="402">
        <f t="shared" si="49"/>
        <v>0</v>
      </c>
    </row>
    <row r="605" spans="1:7" s="160" customFormat="1" x14ac:dyDescent="0.35">
      <c r="A605" s="398"/>
      <c r="B605" s="399"/>
      <c r="C605" s="400"/>
      <c r="D605" s="409"/>
      <c r="E605" s="401"/>
      <c r="F605" s="411"/>
      <c r="G605" s="402">
        <f t="shared" si="49"/>
        <v>0</v>
      </c>
    </row>
    <row r="606" spans="1:7" s="160" customFormat="1" x14ac:dyDescent="0.35">
      <c r="A606" s="398"/>
      <c r="B606" s="399"/>
      <c r="C606" s="400"/>
      <c r="D606" s="409"/>
      <c r="E606" s="401"/>
      <c r="F606" s="411"/>
      <c r="G606" s="402">
        <f t="shared" si="49"/>
        <v>0</v>
      </c>
    </row>
    <row r="607" spans="1:7" s="160" customFormat="1" x14ac:dyDescent="0.35">
      <c r="A607" s="398"/>
      <c r="B607" s="399"/>
      <c r="C607" s="400"/>
      <c r="D607" s="409"/>
      <c r="E607" s="401"/>
      <c r="F607" s="411"/>
      <c r="G607" s="402">
        <f t="shared" si="49"/>
        <v>0</v>
      </c>
    </row>
    <row r="608" spans="1:7" s="160" customFormat="1" x14ac:dyDescent="0.35">
      <c r="A608" s="398"/>
      <c r="B608" s="399"/>
      <c r="C608" s="400"/>
      <c r="D608" s="409"/>
      <c r="E608" s="401"/>
      <c r="F608" s="411"/>
      <c r="G608" s="402">
        <f t="shared" si="49"/>
        <v>0</v>
      </c>
    </row>
    <row r="609" spans="1:7" s="160" customFormat="1" x14ac:dyDescent="0.35">
      <c r="A609" s="398"/>
      <c r="B609" s="399"/>
      <c r="C609" s="400"/>
      <c r="D609" s="409"/>
      <c r="E609" s="401"/>
      <c r="F609" s="411"/>
      <c r="G609" s="402">
        <f t="shared" si="49"/>
        <v>0</v>
      </c>
    </row>
    <row r="610" spans="1:7" s="160" customFormat="1" x14ac:dyDescent="0.35">
      <c r="A610" s="398"/>
      <c r="B610" s="399"/>
      <c r="C610" s="400"/>
      <c r="D610" s="409"/>
      <c r="E610" s="401"/>
      <c r="F610" s="411"/>
      <c r="G610" s="402">
        <f t="shared" si="49"/>
        <v>0</v>
      </c>
    </row>
    <row r="611" spans="1:7" s="160" customFormat="1" x14ac:dyDescent="0.35">
      <c r="A611" s="398"/>
      <c r="B611" s="399"/>
      <c r="C611" s="400"/>
      <c r="D611" s="409"/>
      <c r="E611" s="401"/>
      <c r="F611" s="411"/>
      <c r="G611" s="402">
        <f t="shared" si="49"/>
        <v>0</v>
      </c>
    </row>
    <row r="612" spans="1:7" s="160" customFormat="1" x14ac:dyDescent="0.35">
      <c r="A612" s="398"/>
      <c r="B612" s="399"/>
      <c r="C612" s="400"/>
      <c r="D612" s="409"/>
      <c r="E612" s="401"/>
      <c r="F612" s="411"/>
      <c r="G612" s="402">
        <f t="shared" si="49"/>
        <v>0</v>
      </c>
    </row>
    <row r="613" spans="1:7" s="160" customFormat="1" x14ac:dyDescent="0.35">
      <c r="A613" s="398"/>
      <c r="B613" s="399"/>
      <c r="C613" s="400"/>
      <c r="D613" s="409"/>
      <c r="E613" s="401"/>
      <c r="F613" s="411"/>
      <c r="G613" s="402">
        <f t="shared" si="49"/>
        <v>0</v>
      </c>
    </row>
    <row r="614" spans="1:7" s="160" customFormat="1" x14ac:dyDescent="0.35">
      <c r="A614" s="398"/>
      <c r="B614" s="399"/>
      <c r="C614" s="400"/>
      <c r="D614" s="409"/>
      <c r="E614" s="401"/>
      <c r="F614" s="411"/>
      <c r="G614" s="402">
        <f t="shared" si="49"/>
        <v>0</v>
      </c>
    </row>
    <row r="615" spans="1:7" s="160" customFormat="1" x14ac:dyDescent="0.35">
      <c r="A615" s="398"/>
      <c r="B615" s="399"/>
      <c r="C615" s="400"/>
      <c r="D615" s="409"/>
      <c r="E615" s="401"/>
      <c r="F615" s="411"/>
      <c r="G615" s="402">
        <f t="shared" si="49"/>
        <v>0</v>
      </c>
    </row>
    <row r="616" spans="1:7" s="160" customFormat="1" x14ac:dyDescent="0.35">
      <c r="A616" s="398"/>
      <c r="B616" s="399"/>
      <c r="C616" s="400"/>
      <c r="D616" s="409"/>
      <c r="E616" s="401"/>
      <c r="F616" s="411"/>
      <c r="G616" s="402">
        <f t="shared" si="49"/>
        <v>0</v>
      </c>
    </row>
    <row r="617" spans="1:7" s="160" customFormat="1" ht="24" thickBot="1" x14ac:dyDescent="0.4">
      <c r="A617" s="398"/>
      <c r="B617" s="399"/>
      <c r="C617" s="400"/>
      <c r="D617" s="409"/>
      <c r="E617" s="401"/>
      <c r="F617" s="411"/>
      <c r="G617" s="402">
        <f t="shared" si="49"/>
        <v>0</v>
      </c>
    </row>
    <row r="618" spans="1:7" ht="18.75" customHeight="1" x14ac:dyDescent="0.35">
      <c r="A618" s="383"/>
      <c r="B618" s="384"/>
      <c r="C618" s="385"/>
      <c r="D618" s="386"/>
      <c r="E618" s="387"/>
      <c r="F618" s="410"/>
      <c r="G618" s="387"/>
    </row>
    <row r="619" spans="1:7" s="160" customFormat="1" x14ac:dyDescent="0.35">
      <c r="A619" s="388"/>
      <c r="B619" s="389"/>
      <c r="C619" s="390"/>
      <c r="D619" s="391"/>
      <c r="E619" s="391"/>
      <c r="F619" s="393" t="s">
        <v>2</v>
      </c>
      <c r="G619" s="393"/>
    </row>
    <row r="620" spans="1:7" s="160" customFormat="1" ht="24" thickBot="1" x14ac:dyDescent="0.4">
      <c r="A620" s="394"/>
      <c r="B620" s="395"/>
      <c r="C620" s="396" t="s">
        <v>753</v>
      </c>
      <c r="D620" s="397" t="s">
        <v>3</v>
      </c>
      <c r="E620" s="397" t="s">
        <v>1</v>
      </c>
      <c r="F620" s="397" t="s">
        <v>4</v>
      </c>
      <c r="G620" s="397" t="s">
        <v>5</v>
      </c>
    </row>
    <row r="621" spans="1:7" s="160" customFormat="1" ht="18" customHeight="1" x14ac:dyDescent="0.35">
      <c r="A621" s="398"/>
      <c r="B621" s="399"/>
      <c r="C621" s="400"/>
      <c r="D621" s="409"/>
      <c r="E621" s="401"/>
      <c r="F621" s="411"/>
      <c r="G621" s="402">
        <f t="shared" ref="G621:G622" si="50">ROUND(D621*F621,2)</f>
        <v>0</v>
      </c>
    </row>
    <row r="622" spans="1:7" s="160" customFormat="1" x14ac:dyDescent="0.35">
      <c r="A622" s="398"/>
      <c r="B622" s="399"/>
      <c r="C622" s="412" t="s">
        <v>869</v>
      </c>
      <c r="D622" s="409"/>
      <c r="E622" s="401"/>
      <c r="F622" s="411"/>
      <c r="G622" s="402">
        <f t="shared" si="50"/>
        <v>0</v>
      </c>
    </row>
    <row r="623" spans="1:7" s="160" customFormat="1" x14ac:dyDescent="0.35">
      <c r="A623" s="398"/>
      <c r="B623" s="399"/>
      <c r="C623" s="400"/>
      <c r="D623" s="409"/>
      <c r="E623" s="401"/>
      <c r="F623" s="411"/>
      <c r="G623" s="402">
        <f t="shared" ref="G623:G649" si="51">D623*F623</f>
        <v>0</v>
      </c>
    </row>
    <row r="624" spans="1:7" s="160" customFormat="1" ht="46.5" x14ac:dyDescent="0.35">
      <c r="A624" s="398"/>
      <c r="B624" s="399"/>
      <c r="C624" s="400" t="s">
        <v>901</v>
      </c>
      <c r="D624" s="409">
        <v>6</v>
      </c>
      <c r="E624" s="401" t="s">
        <v>761</v>
      </c>
      <c r="F624" s="411"/>
      <c r="G624" s="402">
        <f t="shared" si="51"/>
        <v>0</v>
      </c>
    </row>
    <row r="625" spans="1:7" s="160" customFormat="1" x14ac:dyDescent="0.35">
      <c r="A625" s="398"/>
      <c r="B625" s="399"/>
      <c r="C625" s="400"/>
      <c r="D625" s="409"/>
      <c r="E625" s="401"/>
      <c r="F625" s="411"/>
      <c r="G625" s="402">
        <f t="shared" si="51"/>
        <v>0</v>
      </c>
    </row>
    <row r="626" spans="1:7" s="160" customFormat="1" ht="46.5" x14ac:dyDescent="0.35">
      <c r="A626" s="398"/>
      <c r="B626" s="399"/>
      <c r="C626" s="400" t="s">
        <v>872</v>
      </c>
      <c r="D626" s="409">
        <v>6</v>
      </c>
      <c r="E626" s="401" t="s">
        <v>761</v>
      </c>
      <c r="F626" s="411"/>
      <c r="G626" s="402">
        <f t="shared" si="51"/>
        <v>0</v>
      </c>
    </row>
    <row r="627" spans="1:7" s="160" customFormat="1" x14ac:dyDescent="0.35">
      <c r="A627" s="398"/>
      <c r="B627" s="399"/>
      <c r="C627" s="400"/>
      <c r="D627" s="409"/>
      <c r="E627" s="401"/>
      <c r="F627" s="411"/>
      <c r="G627" s="402">
        <f t="shared" si="51"/>
        <v>0</v>
      </c>
    </row>
    <row r="628" spans="1:7" s="160" customFormat="1" ht="46.5" x14ac:dyDescent="0.35">
      <c r="A628" s="398"/>
      <c r="B628" s="399"/>
      <c r="C628" s="400" t="s">
        <v>873</v>
      </c>
      <c r="D628" s="409">
        <v>6</v>
      </c>
      <c r="E628" s="401" t="s">
        <v>761</v>
      </c>
      <c r="F628" s="411"/>
      <c r="G628" s="402">
        <f t="shared" si="51"/>
        <v>0</v>
      </c>
    </row>
    <row r="629" spans="1:7" s="160" customFormat="1" x14ac:dyDescent="0.35">
      <c r="A629" s="398"/>
      <c r="B629" s="399"/>
      <c r="C629" s="400"/>
      <c r="D629" s="409"/>
      <c r="E629" s="401"/>
      <c r="F629" s="411"/>
      <c r="G629" s="402">
        <f t="shared" si="51"/>
        <v>0</v>
      </c>
    </row>
    <row r="630" spans="1:7" s="160" customFormat="1" ht="93" x14ac:dyDescent="0.35">
      <c r="A630" s="398"/>
      <c r="B630" s="399"/>
      <c r="C630" s="400" t="s">
        <v>876</v>
      </c>
      <c r="D630" s="409">
        <v>6</v>
      </c>
      <c r="E630" s="401" t="s">
        <v>761</v>
      </c>
      <c r="F630" s="411"/>
      <c r="G630" s="402">
        <f t="shared" si="51"/>
        <v>0</v>
      </c>
    </row>
    <row r="631" spans="1:7" s="160" customFormat="1" x14ac:dyDescent="0.35">
      <c r="A631" s="398"/>
      <c r="B631" s="399"/>
      <c r="C631" s="400"/>
      <c r="D631" s="409"/>
      <c r="E631" s="401"/>
      <c r="F631" s="411"/>
      <c r="G631" s="402">
        <f t="shared" si="51"/>
        <v>0</v>
      </c>
    </row>
    <row r="632" spans="1:7" s="160" customFormat="1" ht="46.5" x14ac:dyDescent="0.35">
      <c r="A632" s="398"/>
      <c r="B632" s="399"/>
      <c r="C632" s="400" t="s">
        <v>877</v>
      </c>
      <c r="D632" s="409">
        <v>6</v>
      </c>
      <c r="E632" s="401" t="s">
        <v>761</v>
      </c>
      <c r="F632" s="411"/>
      <c r="G632" s="402">
        <f t="shared" si="51"/>
        <v>0</v>
      </c>
    </row>
    <row r="633" spans="1:7" s="160" customFormat="1" x14ac:dyDescent="0.35">
      <c r="A633" s="398"/>
      <c r="B633" s="399"/>
      <c r="C633" s="400"/>
      <c r="D633" s="409"/>
      <c r="E633" s="401"/>
      <c r="F633" s="411"/>
      <c r="G633" s="402">
        <f t="shared" si="51"/>
        <v>0</v>
      </c>
    </row>
    <row r="634" spans="1:7" s="160" customFormat="1" x14ac:dyDescent="0.35">
      <c r="A634" s="398"/>
      <c r="B634" s="399"/>
      <c r="C634" s="400" t="s">
        <v>878</v>
      </c>
      <c r="D634" s="409">
        <v>6</v>
      </c>
      <c r="E634" s="401" t="s">
        <v>761</v>
      </c>
      <c r="F634" s="411"/>
      <c r="G634" s="402">
        <f t="shared" si="51"/>
        <v>0</v>
      </c>
    </row>
    <row r="635" spans="1:7" s="160" customFormat="1" x14ac:dyDescent="0.35">
      <c r="A635" s="398"/>
      <c r="B635" s="399"/>
      <c r="C635" s="400"/>
      <c r="D635" s="409"/>
      <c r="E635" s="401"/>
      <c r="F635" s="411"/>
      <c r="G635" s="402">
        <f t="shared" si="51"/>
        <v>0</v>
      </c>
    </row>
    <row r="636" spans="1:7" s="160" customFormat="1" ht="46.5" x14ac:dyDescent="0.35">
      <c r="A636" s="398"/>
      <c r="B636" s="399"/>
      <c r="C636" s="400" t="s">
        <v>879</v>
      </c>
      <c r="D636" s="409">
        <v>6</v>
      </c>
      <c r="E636" s="401" t="s">
        <v>761</v>
      </c>
      <c r="F636" s="411"/>
      <c r="G636" s="402">
        <f t="shared" si="51"/>
        <v>0</v>
      </c>
    </row>
    <row r="637" spans="1:7" s="160" customFormat="1" x14ac:dyDescent="0.35">
      <c r="A637" s="398"/>
      <c r="B637" s="399"/>
      <c r="C637" s="400"/>
      <c r="D637" s="409"/>
      <c r="E637" s="401"/>
      <c r="F637" s="411"/>
      <c r="G637" s="402">
        <f t="shared" si="51"/>
        <v>0</v>
      </c>
    </row>
    <row r="638" spans="1:7" s="160" customFormat="1" ht="46.5" x14ac:dyDescent="0.35">
      <c r="A638" s="398"/>
      <c r="B638" s="399"/>
      <c r="C638" s="400" t="s">
        <v>880</v>
      </c>
      <c r="D638" s="409">
        <v>6</v>
      </c>
      <c r="E638" s="401" t="s">
        <v>761</v>
      </c>
      <c r="F638" s="411"/>
      <c r="G638" s="402">
        <f t="shared" si="51"/>
        <v>0</v>
      </c>
    </row>
    <row r="639" spans="1:7" s="160" customFormat="1" x14ac:dyDescent="0.35">
      <c r="A639" s="398"/>
      <c r="B639" s="399"/>
      <c r="C639" s="400"/>
      <c r="D639" s="409"/>
      <c r="E639" s="401"/>
      <c r="F639" s="411"/>
      <c r="G639" s="402">
        <f t="shared" si="51"/>
        <v>0</v>
      </c>
    </row>
    <row r="640" spans="1:7" s="160" customFormat="1" ht="69.75" x14ac:dyDescent="0.35">
      <c r="A640" s="398"/>
      <c r="B640" s="399"/>
      <c r="C640" s="400" t="s">
        <v>881</v>
      </c>
      <c r="D640" s="409">
        <v>24</v>
      </c>
      <c r="E640" s="401" t="s">
        <v>761</v>
      </c>
      <c r="F640" s="411"/>
      <c r="G640" s="402">
        <f t="shared" si="51"/>
        <v>0</v>
      </c>
    </row>
    <row r="641" spans="1:7" s="160" customFormat="1" x14ac:dyDescent="0.35">
      <c r="A641" s="398"/>
      <c r="B641" s="399"/>
      <c r="C641" s="400"/>
      <c r="D641" s="409"/>
      <c r="E641" s="401"/>
      <c r="F641" s="411"/>
      <c r="G641" s="402">
        <f t="shared" si="51"/>
        <v>0</v>
      </c>
    </row>
    <row r="642" spans="1:7" s="160" customFormat="1" x14ac:dyDescent="0.35">
      <c r="A642" s="398"/>
      <c r="B642" s="399"/>
      <c r="C642" s="400"/>
      <c r="D642" s="409"/>
      <c r="E642" s="401"/>
      <c r="F642" s="411"/>
      <c r="G642" s="402">
        <f t="shared" si="51"/>
        <v>0</v>
      </c>
    </row>
    <row r="643" spans="1:7" s="160" customFormat="1" ht="93" x14ac:dyDescent="0.35">
      <c r="A643" s="398"/>
      <c r="B643" s="399"/>
      <c r="C643" s="400" t="s">
        <v>902</v>
      </c>
      <c r="D643" s="409">
        <v>6</v>
      </c>
      <c r="E643" s="401" t="s">
        <v>761</v>
      </c>
      <c r="F643" s="411"/>
      <c r="G643" s="402">
        <f t="shared" si="51"/>
        <v>0</v>
      </c>
    </row>
    <row r="644" spans="1:7" s="160" customFormat="1" x14ac:dyDescent="0.35">
      <c r="A644" s="398"/>
      <c r="B644" s="399"/>
      <c r="C644" s="400"/>
      <c r="D644" s="409"/>
      <c r="E644" s="401"/>
      <c r="F644" s="411"/>
      <c r="G644" s="402">
        <f t="shared" si="51"/>
        <v>0</v>
      </c>
    </row>
    <row r="645" spans="1:7" s="160" customFormat="1" x14ac:dyDescent="0.35">
      <c r="A645" s="398"/>
      <c r="B645" s="399"/>
      <c r="C645" s="400" t="s">
        <v>830</v>
      </c>
      <c r="D645" s="409">
        <v>1</v>
      </c>
      <c r="E645" s="401" t="s">
        <v>819</v>
      </c>
      <c r="F645" s="411"/>
      <c r="G645" s="402">
        <f t="shared" si="51"/>
        <v>0</v>
      </c>
    </row>
    <row r="646" spans="1:7" s="160" customFormat="1" x14ac:dyDescent="0.35">
      <c r="A646" s="398"/>
      <c r="B646" s="399"/>
      <c r="C646" s="400"/>
      <c r="D646" s="409"/>
      <c r="E646" s="401"/>
      <c r="F646" s="411"/>
      <c r="G646" s="402">
        <f t="shared" si="51"/>
        <v>0</v>
      </c>
    </row>
    <row r="647" spans="1:7" s="160" customFormat="1" ht="46.5" x14ac:dyDescent="0.35">
      <c r="A647" s="398"/>
      <c r="B647" s="399"/>
      <c r="C647" s="400" t="s">
        <v>870</v>
      </c>
      <c r="D647" s="409">
        <v>1</v>
      </c>
      <c r="E647" s="401" t="s">
        <v>756</v>
      </c>
      <c r="F647" s="411"/>
      <c r="G647" s="402">
        <f t="shared" si="51"/>
        <v>0</v>
      </c>
    </row>
    <row r="648" spans="1:7" s="160" customFormat="1" x14ac:dyDescent="0.35">
      <c r="A648" s="398"/>
      <c r="B648" s="399"/>
      <c r="C648" s="400"/>
      <c r="D648" s="409"/>
      <c r="E648" s="401"/>
      <c r="F648" s="411"/>
      <c r="G648" s="402">
        <f t="shared" si="51"/>
        <v>0</v>
      </c>
    </row>
    <row r="649" spans="1:7" s="160" customFormat="1" ht="24" thickBot="1" x14ac:dyDescent="0.4">
      <c r="A649" s="398"/>
      <c r="B649" s="399"/>
      <c r="C649" s="400"/>
      <c r="D649" s="409"/>
      <c r="E649" s="401"/>
      <c r="F649" s="411"/>
      <c r="G649" s="402">
        <f t="shared" si="51"/>
        <v>0</v>
      </c>
    </row>
    <row r="650" spans="1:7" s="160" customFormat="1" ht="24" thickBot="1" x14ac:dyDescent="0.4">
      <c r="A650" s="398"/>
      <c r="B650" s="399"/>
      <c r="C650" s="404" t="s">
        <v>760</v>
      </c>
      <c r="D650" s="409"/>
      <c r="E650" s="401"/>
      <c r="F650" s="411"/>
      <c r="G650" s="405">
        <f>SUM(G623:G649)</f>
        <v>0</v>
      </c>
    </row>
    <row r="651" spans="1:7" ht="18.75" customHeight="1" x14ac:dyDescent="0.35">
      <c r="A651" s="383"/>
      <c r="B651" s="384"/>
      <c r="C651" s="385"/>
      <c r="D651" s="386"/>
      <c r="E651" s="387"/>
      <c r="F651" s="410"/>
      <c r="G651" s="387"/>
    </row>
    <row r="652" spans="1:7" s="160" customFormat="1" x14ac:dyDescent="0.35">
      <c r="A652" s="388"/>
      <c r="B652" s="389"/>
      <c r="C652" s="390"/>
      <c r="D652" s="391"/>
      <c r="E652" s="391"/>
      <c r="F652" s="393" t="s">
        <v>2</v>
      </c>
      <c r="G652" s="393"/>
    </row>
    <row r="653" spans="1:7" s="160" customFormat="1" ht="24" thickBot="1" x14ac:dyDescent="0.4">
      <c r="A653" s="394"/>
      <c r="B653" s="395"/>
      <c r="C653" s="396" t="s">
        <v>753</v>
      </c>
      <c r="D653" s="397" t="s">
        <v>3</v>
      </c>
      <c r="E653" s="397" t="s">
        <v>1</v>
      </c>
      <c r="F653" s="397" t="s">
        <v>4</v>
      </c>
      <c r="G653" s="397" t="s">
        <v>5</v>
      </c>
    </row>
    <row r="654" spans="1:7" s="160" customFormat="1" ht="18" customHeight="1" x14ac:dyDescent="0.35">
      <c r="A654" s="398"/>
      <c r="B654" s="399"/>
      <c r="C654" s="400"/>
      <c r="D654" s="409"/>
      <c r="E654" s="401"/>
      <c r="F654" s="411"/>
      <c r="G654" s="402">
        <f t="shared" ref="G654:G655" si="52">ROUND(D654*F654,2)</f>
        <v>0</v>
      </c>
    </row>
    <row r="655" spans="1:7" s="160" customFormat="1" x14ac:dyDescent="0.35">
      <c r="A655" s="398"/>
      <c r="B655" s="399"/>
      <c r="C655" s="412" t="s">
        <v>882</v>
      </c>
      <c r="D655" s="409"/>
      <c r="E655" s="401"/>
      <c r="F655" s="411"/>
      <c r="G655" s="402">
        <f t="shared" si="52"/>
        <v>0</v>
      </c>
    </row>
    <row r="656" spans="1:7" s="160" customFormat="1" x14ac:dyDescent="0.35">
      <c r="A656" s="398"/>
      <c r="B656" s="399"/>
      <c r="C656" s="404"/>
      <c r="D656" s="409"/>
      <c r="E656" s="401"/>
      <c r="F656" s="411"/>
      <c r="G656" s="402"/>
    </row>
    <row r="657" spans="1:7" s="160" customFormat="1" x14ac:dyDescent="0.35">
      <c r="A657" s="398"/>
      <c r="B657" s="399"/>
      <c r="C657" s="404" t="s">
        <v>904</v>
      </c>
      <c r="D657" s="409"/>
      <c r="E657" s="401"/>
      <c r="F657" s="411"/>
      <c r="G657" s="402">
        <f>G25</f>
        <v>0</v>
      </c>
    </row>
    <row r="658" spans="1:7" s="160" customFormat="1" x14ac:dyDescent="0.35">
      <c r="A658" s="398"/>
      <c r="B658" s="399"/>
      <c r="C658" s="404"/>
      <c r="D658" s="409"/>
      <c r="E658" s="401"/>
      <c r="F658" s="411"/>
      <c r="G658" s="402"/>
    </row>
    <row r="659" spans="1:7" s="160" customFormat="1" x14ac:dyDescent="0.35">
      <c r="A659" s="398"/>
      <c r="B659" s="399"/>
      <c r="C659" s="404" t="s">
        <v>905</v>
      </c>
      <c r="D659" s="409"/>
      <c r="E659" s="401"/>
      <c r="F659" s="411"/>
      <c r="G659" s="402">
        <f>G49</f>
        <v>0</v>
      </c>
    </row>
    <row r="660" spans="1:7" s="160" customFormat="1" x14ac:dyDescent="0.35">
      <c r="A660" s="398"/>
      <c r="B660" s="399"/>
      <c r="C660" s="404"/>
      <c r="D660" s="409"/>
      <c r="E660" s="401"/>
      <c r="F660" s="411"/>
      <c r="G660" s="402"/>
    </row>
    <row r="661" spans="1:7" s="160" customFormat="1" x14ac:dyDescent="0.35">
      <c r="A661" s="398"/>
      <c r="B661" s="399"/>
      <c r="C661" s="404" t="s">
        <v>906</v>
      </c>
      <c r="D661" s="409"/>
      <c r="E661" s="401"/>
      <c r="F661" s="411"/>
      <c r="G661" s="402">
        <f>G75</f>
        <v>0</v>
      </c>
    </row>
    <row r="662" spans="1:7" s="160" customFormat="1" x14ac:dyDescent="0.35">
      <c r="A662" s="398"/>
      <c r="B662" s="399"/>
      <c r="C662" s="404"/>
      <c r="D662" s="409"/>
      <c r="E662" s="401"/>
      <c r="F662" s="411"/>
      <c r="G662" s="402"/>
    </row>
    <row r="663" spans="1:7" s="160" customFormat="1" x14ac:dyDescent="0.35">
      <c r="A663" s="398"/>
      <c r="B663" s="399"/>
      <c r="C663" s="404" t="s">
        <v>907</v>
      </c>
      <c r="D663" s="409"/>
      <c r="E663" s="401"/>
      <c r="F663" s="411"/>
      <c r="G663" s="402">
        <f>G100</f>
        <v>0</v>
      </c>
    </row>
    <row r="664" spans="1:7" s="160" customFormat="1" x14ac:dyDescent="0.35">
      <c r="A664" s="398"/>
      <c r="B664" s="399"/>
      <c r="C664" s="404"/>
      <c r="D664" s="409"/>
      <c r="E664" s="401"/>
      <c r="F664" s="411"/>
      <c r="G664" s="402"/>
    </row>
    <row r="665" spans="1:7" s="160" customFormat="1" x14ac:dyDescent="0.35">
      <c r="A665" s="398"/>
      <c r="B665" s="399"/>
      <c r="C665" s="404" t="s">
        <v>908</v>
      </c>
      <c r="D665" s="409"/>
      <c r="E665" s="401"/>
      <c r="F665" s="411"/>
      <c r="G665" s="402">
        <f>G129</f>
        <v>0</v>
      </c>
    </row>
    <row r="666" spans="1:7" s="160" customFormat="1" x14ac:dyDescent="0.35">
      <c r="A666" s="398"/>
      <c r="B666" s="399"/>
      <c r="C666" s="404"/>
      <c r="D666" s="409"/>
      <c r="E666" s="401"/>
      <c r="F666" s="411"/>
      <c r="G666" s="402"/>
    </row>
    <row r="667" spans="1:7" s="160" customFormat="1" x14ac:dyDescent="0.35">
      <c r="A667" s="398"/>
      <c r="B667" s="399"/>
      <c r="C667" s="404" t="s">
        <v>909</v>
      </c>
      <c r="D667" s="409"/>
      <c r="E667" s="401"/>
      <c r="F667" s="411"/>
      <c r="G667" s="402">
        <f>G156</f>
        <v>0</v>
      </c>
    </row>
    <row r="668" spans="1:7" s="160" customFormat="1" x14ac:dyDescent="0.35">
      <c r="A668" s="398"/>
      <c r="B668" s="399"/>
      <c r="C668" s="404"/>
      <c r="D668" s="409"/>
      <c r="E668" s="401"/>
      <c r="F668" s="411"/>
      <c r="G668" s="402"/>
    </row>
    <row r="669" spans="1:7" s="160" customFormat="1" x14ac:dyDescent="0.35">
      <c r="A669" s="398"/>
      <c r="B669" s="399"/>
      <c r="C669" s="404" t="s">
        <v>910</v>
      </c>
      <c r="D669" s="409"/>
      <c r="E669" s="401"/>
      <c r="F669" s="411"/>
      <c r="G669" s="402">
        <f>G177</f>
        <v>0</v>
      </c>
    </row>
    <row r="670" spans="1:7" s="160" customFormat="1" x14ac:dyDescent="0.35">
      <c r="A670" s="398"/>
      <c r="B670" s="399"/>
      <c r="C670" s="404"/>
      <c r="D670" s="409"/>
      <c r="E670" s="401"/>
      <c r="F670" s="411"/>
      <c r="G670" s="402"/>
    </row>
    <row r="671" spans="1:7" s="160" customFormat="1" x14ac:dyDescent="0.35">
      <c r="A671" s="398"/>
      <c r="B671" s="399"/>
      <c r="C671" s="404" t="s">
        <v>911</v>
      </c>
      <c r="D671" s="409"/>
      <c r="E671" s="401"/>
      <c r="F671" s="411"/>
      <c r="G671" s="402">
        <f>G203</f>
        <v>0</v>
      </c>
    </row>
    <row r="672" spans="1:7" s="160" customFormat="1" x14ac:dyDescent="0.35">
      <c r="A672" s="398"/>
      <c r="B672" s="399"/>
      <c r="C672" s="404"/>
      <c r="D672" s="409"/>
      <c r="E672" s="401"/>
      <c r="F672" s="411"/>
      <c r="G672" s="402"/>
    </row>
    <row r="673" spans="1:7" s="160" customFormat="1" x14ac:dyDescent="0.35">
      <c r="A673" s="398"/>
      <c r="B673" s="399"/>
      <c r="C673" s="404" t="s">
        <v>912</v>
      </c>
      <c r="D673" s="409"/>
      <c r="E673" s="401"/>
      <c r="F673" s="411"/>
      <c r="G673" s="402">
        <f>G241</f>
        <v>0</v>
      </c>
    </row>
    <row r="674" spans="1:7" s="160" customFormat="1" x14ac:dyDescent="0.35">
      <c r="A674" s="398"/>
      <c r="B674" s="399"/>
      <c r="C674" s="404"/>
      <c r="D674" s="409"/>
      <c r="E674" s="401"/>
      <c r="F674" s="411"/>
      <c r="G674" s="402"/>
    </row>
    <row r="675" spans="1:7" s="160" customFormat="1" x14ac:dyDescent="0.35">
      <c r="A675" s="398"/>
      <c r="B675" s="399"/>
      <c r="C675" s="404" t="s">
        <v>913</v>
      </c>
      <c r="D675" s="409"/>
      <c r="E675" s="401"/>
      <c r="F675" s="411"/>
      <c r="G675" s="402">
        <f>G274</f>
        <v>0</v>
      </c>
    </row>
    <row r="676" spans="1:7" s="160" customFormat="1" x14ac:dyDescent="0.35">
      <c r="A676" s="398"/>
      <c r="B676" s="399"/>
      <c r="C676" s="404"/>
      <c r="D676" s="409"/>
      <c r="E676" s="401"/>
      <c r="F676" s="411"/>
      <c r="G676" s="402"/>
    </row>
    <row r="677" spans="1:7" s="160" customFormat="1" x14ac:dyDescent="0.35">
      <c r="A677" s="398"/>
      <c r="B677" s="399"/>
      <c r="C677" s="404" t="s">
        <v>914</v>
      </c>
      <c r="D677" s="409"/>
      <c r="E677" s="401"/>
      <c r="F677" s="411"/>
      <c r="G677" s="402">
        <f>G325</f>
        <v>0</v>
      </c>
    </row>
    <row r="678" spans="1:7" s="160" customFormat="1" x14ac:dyDescent="0.35">
      <c r="A678" s="398"/>
      <c r="B678" s="399"/>
      <c r="C678" s="404"/>
      <c r="D678" s="409"/>
      <c r="E678" s="401"/>
      <c r="F678" s="411"/>
      <c r="G678" s="402"/>
    </row>
    <row r="679" spans="1:7" s="160" customFormat="1" x14ac:dyDescent="0.35">
      <c r="A679" s="398"/>
      <c r="B679" s="399"/>
      <c r="C679" s="404" t="s">
        <v>915</v>
      </c>
      <c r="D679" s="409"/>
      <c r="E679" s="401"/>
      <c r="F679" s="411"/>
      <c r="G679" s="402">
        <f>G371</f>
        <v>0</v>
      </c>
    </row>
    <row r="680" spans="1:7" s="160" customFormat="1" x14ac:dyDescent="0.35">
      <c r="A680" s="398"/>
      <c r="B680" s="399"/>
      <c r="C680" s="404"/>
      <c r="D680" s="409"/>
      <c r="E680" s="401"/>
      <c r="F680" s="411"/>
      <c r="G680" s="402"/>
    </row>
    <row r="681" spans="1:7" s="160" customFormat="1" x14ac:dyDescent="0.35">
      <c r="A681" s="398"/>
      <c r="B681" s="399"/>
      <c r="C681" s="404" t="s">
        <v>916</v>
      </c>
      <c r="D681" s="409"/>
      <c r="E681" s="401"/>
      <c r="F681" s="411"/>
      <c r="G681" s="402">
        <f>G408</f>
        <v>0</v>
      </c>
    </row>
    <row r="682" spans="1:7" s="160" customFormat="1" x14ac:dyDescent="0.35">
      <c r="A682" s="398"/>
      <c r="B682" s="399"/>
      <c r="C682" s="404"/>
      <c r="D682" s="409"/>
      <c r="E682" s="401"/>
      <c r="F682" s="411"/>
      <c r="G682" s="402"/>
    </row>
    <row r="683" spans="1:7" s="160" customFormat="1" x14ac:dyDescent="0.35">
      <c r="A683" s="398"/>
      <c r="B683" s="399"/>
      <c r="C683" s="404" t="s">
        <v>917</v>
      </c>
      <c r="D683" s="409"/>
      <c r="E683" s="401"/>
      <c r="F683" s="411"/>
      <c r="G683" s="402">
        <f>G435</f>
        <v>0</v>
      </c>
    </row>
    <row r="684" spans="1:7" s="160" customFormat="1" x14ac:dyDescent="0.35">
      <c r="A684" s="398"/>
      <c r="B684" s="399"/>
      <c r="C684" s="404"/>
      <c r="D684" s="409"/>
      <c r="E684" s="401"/>
      <c r="F684" s="411"/>
      <c r="G684" s="402"/>
    </row>
    <row r="685" spans="1:7" s="160" customFormat="1" x14ac:dyDescent="0.35">
      <c r="A685" s="398"/>
      <c r="B685" s="399"/>
      <c r="C685" s="404" t="s">
        <v>918</v>
      </c>
      <c r="D685" s="409"/>
      <c r="E685" s="401"/>
      <c r="F685" s="411"/>
      <c r="G685" s="402">
        <f>G461</f>
        <v>0</v>
      </c>
    </row>
    <row r="686" spans="1:7" s="160" customFormat="1" x14ac:dyDescent="0.35">
      <c r="A686" s="398"/>
      <c r="B686" s="399"/>
      <c r="C686" s="404"/>
      <c r="D686" s="409"/>
      <c r="E686" s="401"/>
      <c r="F686" s="411"/>
      <c r="G686" s="402"/>
    </row>
    <row r="687" spans="1:7" s="160" customFormat="1" x14ac:dyDescent="0.35">
      <c r="A687" s="398"/>
      <c r="B687" s="399"/>
      <c r="C687" s="404" t="s">
        <v>919</v>
      </c>
      <c r="D687" s="409"/>
      <c r="E687" s="401"/>
      <c r="F687" s="411"/>
      <c r="G687" s="402">
        <f>G494</f>
        <v>0</v>
      </c>
    </row>
    <row r="688" spans="1:7" s="160" customFormat="1" x14ac:dyDescent="0.35">
      <c r="A688" s="398"/>
      <c r="B688" s="399"/>
      <c r="C688" s="404"/>
      <c r="D688" s="409"/>
      <c r="E688" s="401"/>
      <c r="F688" s="411"/>
      <c r="G688" s="402"/>
    </row>
    <row r="689" spans="1:7" s="160" customFormat="1" x14ac:dyDescent="0.35">
      <c r="A689" s="398"/>
      <c r="B689" s="399"/>
      <c r="C689" s="404" t="s">
        <v>920</v>
      </c>
      <c r="D689" s="409"/>
      <c r="E689" s="401"/>
      <c r="F689" s="411"/>
      <c r="G689" s="402">
        <f>G528</f>
        <v>0</v>
      </c>
    </row>
    <row r="690" spans="1:7" s="160" customFormat="1" x14ac:dyDescent="0.35">
      <c r="A690" s="398"/>
      <c r="B690" s="399"/>
      <c r="C690" s="404"/>
      <c r="D690" s="409"/>
      <c r="E690" s="401"/>
      <c r="F690" s="411"/>
      <c r="G690" s="402"/>
    </row>
    <row r="691" spans="1:7" s="160" customFormat="1" x14ac:dyDescent="0.35">
      <c r="A691" s="398"/>
      <c r="B691" s="399"/>
      <c r="C691" s="404" t="s">
        <v>921</v>
      </c>
      <c r="D691" s="409"/>
      <c r="E691" s="401"/>
      <c r="F691" s="411"/>
      <c r="G691" s="402">
        <f>G601</f>
        <v>0</v>
      </c>
    </row>
    <row r="692" spans="1:7" s="160" customFormat="1" x14ac:dyDescent="0.35">
      <c r="A692" s="398"/>
      <c r="B692" s="399"/>
      <c r="C692" s="404"/>
      <c r="D692" s="409"/>
      <c r="E692" s="401"/>
      <c r="F692" s="411"/>
      <c r="G692" s="402"/>
    </row>
    <row r="693" spans="1:7" s="160" customFormat="1" x14ac:dyDescent="0.35">
      <c r="A693" s="398"/>
      <c r="B693" s="399"/>
      <c r="C693" s="404" t="s">
        <v>922</v>
      </c>
      <c r="D693" s="409"/>
      <c r="E693" s="401"/>
      <c r="F693" s="411"/>
      <c r="G693" s="402">
        <f>G650</f>
        <v>0</v>
      </c>
    </row>
    <row r="694" spans="1:7" s="160" customFormat="1" ht="24" thickBot="1" x14ac:dyDescent="0.4">
      <c r="A694" s="398"/>
      <c r="B694" s="399"/>
      <c r="C694" s="404"/>
      <c r="D694" s="409"/>
      <c r="E694" s="401"/>
      <c r="F694" s="411"/>
      <c r="G694" s="402"/>
    </row>
    <row r="695" spans="1:7" s="160" customFormat="1" ht="24" thickBot="1" x14ac:dyDescent="0.4">
      <c r="A695" s="398"/>
      <c r="B695" s="399"/>
      <c r="C695" s="415" t="s">
        <v>923</v>
      </c>
      <c r="D695" s="409"/>
      <c r="E695" s="401"/>
      <c r="F695" s="411"/>
      <c r="G695" s="405">
        <f>SUM(G656:G694)</f>
        <v>0</v>
      </c>
    </row>
    <row r="696" spans="1:7" s="160" customFormat="1" x14ac:dyDescent="0.35">
      <c r="A696" s="398"/>
      <c r="B696" s="399"/>
      <c r="C696" s="404"/>
      <c r="D696" s="409"/>
      <c r="E696" s="401"/>
      <c r="F696" s="411"/>
      <c r="G696" s="402"/>
    </row>
    <row r="697" spans="1:7" s="160" customFormat="1" x14ac:dyDescent="0.35">
      <c r="A697" s="398"/>
      <c r="B697" s="399"/>
      <c r="C697" s="404"/>
      <c r="D697" s="409"/>
      <c r="E697" s="401"/>
      <c r="F697" s="411"/>
      <c r="G697" s="402"/>
    </row>
  </sheetData>
  <pageMargins left="0.70866141732283472" right="0.70866141732283472" top="0.74803149606299213" bottom="0.74803149606299213" header="0.31496062992125984" footer="0.31496062992125984"/>
  <pageSetup paperSize="9" scale="59" orientation="portrait" useFirstPageNumber="1" r:id="rId1"/>
  <headerFooter>
    <oddHeader xml:space="preserve">&amp;L&amp;UΠΑΣΥΔΥ PLATRES APARTMENTS  
ΚΑΤΕΔΑΦΙΣΕΙΣ-ΜΕΤΑΤΡΟΠΕΣ
&amp;R
&amp;"-,Bold"&amp;14BLOCK 1&amp;"-,Regular"&amp;11
</oddHeader>
    <oddFooter>&amp;R2/&amp;P</oddFooter>
  </headerFooter>
  <rowBreaks count="20" manualBreakCount="20">
    <brk id="26" max="6" man="1"/>
    <brk id="50" max="6" man="1"/>
    <brk id="76" max="6" man="1"/>
    <brk id="102" max="6" man="1"/>
    <brk id="130" max="6" man="1"/>
    <brk id="157" max="6" man="1"/>
    <brk id="178" max="6" man="1"/>
    <brk id="204" max="6" man="1"/>
    <brk id="241" max="6" man="1"/>
    <brk id="278" max="6" man="1"/>
    <brk id="329" max="6" man="1"/>
    <brk id="377" max="6" man="1"/>
    <brk id="408" max="6" man="1"/>
    <brk id="438" max="6" man="1"/>
    <brk id="461" max="6" man="1"/>
    <brk id="501" max="6" man="1"/>
    <brk id="529" max="6" man="1"/>
    <brk id="571" max="6" man="1"/>
    <brk id="617" max="6" man="1"/>
    <brk id="65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C8A05-9318-4AE1-90FE-C04BFA386F27}">
  <sheetPr>
    <tabColor rgb="FFFFFF00"/>
  </sheetPr>
  <dimension ref="A1:G704"/>
  <sheetViews>
    <sheetView showZeros="0" view="pageBreakPreview" zoomScale="50" zoomScaleNormal="100" zoomScaleSheetLayoutView="50" workbookViewId="0">
      <selection activeCell="C421" sqref="C421"/>
    </sheetView>
  </sheetViews>
  <sheetFormatPr defaultColWidth="8.85546875" defaultRowHeight="23.25" x14ac:dyDescent="0.35"/>
  <cols>
    <col min="1" max="1" width="3.42578125" style="406" customWidth="1"/>
    <col min="2" max="2" width="0.85546875" style="407" customWidth="1"/>
    <col min="3" max="3" width="61.5703125" style="408" customWidth="1"/>
    <col min="4" max="4" width="17.140625" style="393" customWidth="1"/>
    <col min="5" max="5" width="14.85546875" style="392" customWidth="1"/>
    <col min="6" max="6" width="20.7109375" style="393" customWidth="1"/>
    <col min="7" max="7" width="19.140625" style="392" customWidth="1"/>
    <col min="8" max="8" width="4" style="158" customWidth="1"/>
    <col min="9" max="16384" width="8.85546875" style="158"/>
  </cols>
  <sheetData>
    <row r="1" spans="1:7" x14ac:dyDescent="0.35">
      <c r="A1" s="383"/>
      <c r="B1" s="384"/>
      <c r="C1" s="385"/>
      <c r="D1" s="386"/>
      <c r="E1" s="387"/>
      <c r="F1" s="410"/>
      <c r="G1" s="387"/>
    </row>
    <row r="2" spans="1:7" s="160" customFormat="1" x14ac:dyDescent="0.35">
      <c r="A2" s="388"/>
      <c r="B2" s="389"/>
      <c r="C2" s="390"/>
      <c r="D2" s="391"/>
      <c r="E2" s="391"/>
      <c r="F2" s="393" t="s">
        <v>2</v>
      </c>
      <c r="G2" s="393"/>
    </row>
    <row r="3" spans="1:7" s="160" customFormat="1" ht="24" thickBot="1" x14ac:dyDescent="0.4">
      <c r="A3" s="394"/>
      <c r="B3" s="395"/>
      <c r="C3" s="396" t="s">
        <v>753</v>
      </c>
      <c r="D3" s="397" t="s">
        <v>3</v>
      </c>
      <c r="E3" s="397" t="s">
        <v>1</v>
      </c>
      <c r="F3" s="397" t="s">
        <v>4</v>
      </c>
      <c r="G3" s="397" t="s">
        <v>5</v>
      </c>
    </row>
    <row r="4" spans="1:7" s="160" customFormat="1" ht="14.25" customHeight="1" x14ac:dyDescent="0.35">
      <c r="A4" s="398"/>
      <c r="B4" s="399"/>
      <c r="C4" s="400"/>
      <c r="D4" s="409"/>
      <c r="E4" s="401"/>
      <c r="F4" s="411"/>
      <c r="G4" s="402">
        <f>ROUND(D4*F4,2)</f>
        <v>0</v>
      </c>
    </row>
    <row r="5" spans="1:7" s="160" customFormat="1" ht="46.5" x14ac:dyDescent="0.35">
      <c r="A5" s="398"/>
      <c r="B5" s="399"/>
      <c r="C5" s="403" t="s">
        <v>783</v>
      </c>
      <c r="D5" s="409"/>
      <c r="E5" s="401"/>
      <c r="F5" s="411"/>
      <c r="G5" s="402">
        <f>ROUND(D5*F5,2)</f>
        <v>0</v>
      </c>
    </row>
    <row r="6" spans="1:7" s="160" customFormat="1" ht="15.75" customHeight="1" x14ac:dyDescent="0.35">
      <c r="A6" s="398"/>
      <c r="B6" s="399"/>
      <c r="C6" s="403"/>
      <c r="D6" s="409"/>
      <c r="E6" s="401"/>
      <c r="F6" s="411"/>
      <c r="G6" s="402"/>
    </row>
    <row r="7" spans="1:7" s="160" customFormat="1" ht="116.25" x14ac:dyDescent="0.35">
      <c r="A7" s="398"/>
      <c r="B7" s="399"/>
      <c r="C7" s="403" t="s">
        <v>785</v>
      </c>
      <c r="D7" s="409"/>
      <c r="E7" s="401"/>
      <c r="F7" s="411"/>
      <c r="G7" s="402"/>
    </row>
    <row r="8" spans="1:7" s="160" customFormat="1" ht="18.75" customHeight="1" x14ac:dyDescent="0.35">
      <c r="A8" s="398"/>
      <c r="B8" s="399"/>
      <c r="C8" s="400"/>
      <c r="D8" s="409"/>
      <c r="E8" s="401"/>
      <c r="F8" s="411"/>
      <c r="G8" s="402">
        <f>ROUND(D8*F8,2)</f>
        <v>0</v>
      </c>
    </row>
    <row r="9" spans="1:7" s="160" customFormat="1" ht="46.5" x14ac:dyDescent="0.35">
      <c r="A9" s="398"/>
      <c r="B9" s="399"/>
      <c r="C9" s="400" t="s">
        <v>767</v>
      </c>
      <c r="D9" s="409">
        <v>1</v>
      </c>
      <c r="E9" s="401" t="s">
        <v>756</v>
      </c>
      <c r="F9" s="411"/>
      <c r="G9" s="402">
        <f>D9*F9</f>
        <v>0</v>
      </c>
    </row>
    <row r="10" spans="1:7" s="160" customFormat="1" ht="18" customHeight="1" x14ac:dyDescent="0.35">
      <c r="A10" s="398"/>
      <c r="B10" s="399"/>
      <c r="C10" s="400"/>
      <c r="D10" s="409"/>
      <c r="E10" s="401"/>
      <c r="F10" s="411"/>
      <c r="G10" s="402">
        <f>ROUND(D10*F10,2)</f>
        <v>0</v>
      </c>
    </row>
    <row r="11" spans="1:7" s="160" customFormat="1" ht="81.75" customHeight="1" x14ac:dyDescent="0.35">
      <c r="A11" s="398"/>
      <c r="B11" s="399"/>
      <c r="C11" s="400" t="s">
        <v>768</v>
      </c>
      <c r="D11" s="409">
        <v>1</v>
      </c>
      <c r="E11" s="401" t="s">
        <v>756</v>
      </c>
      <c r="F11" s="411"/>
      <c r="G11" s="402">
        <f>D11*F11</f>
        <v>0</v>
      </c>
    </row>
    <row r="12" spans="1:7" s="160" customFormat="1" ht="14.25" customHeight="1" x14ac:dyDescent="0.35">
      <c r="A12" s="398"/>
      <c r="B12" s="399"/>
      <c r="C12" s="400"/>
      <c r="D12" s="409"/>
      <c r="E12" s="401"/>
      <c r="F12" s="411"/>
      <c r="G12" s="402">
        <f>ROUND(D12*F12,2)</f>
        <v>0</v>
      </c>
    </row>
    <row r="13" spans="1:7" s="160" customFormat="1" ht="139.5" x14ac:dyDescent="0.35">
      <c r="A13" s="398"/>
      <c r="B13" s="399"/>
      <c r="C13" s="400" t="s">
        <v>763</v>
      </c>
      <c r="D13" s="409">
        <v>72</v>
      </c>
      <c r="E13" s="401" t="s">
        <v>26</v>
      </c>
      <c r="F13" s="411"/>
      <c r="G13" s="402">
        <f>D13*F13</f>
        <v>0</v>
      </c>
    </row>
    <row r="14" spans="1:7" s="160" customFormat="1" ht="18.75" customHeight="1" x14ac:dyDescent="0.35">
      <c r="A14" s="398"/>
      <c r="B14" s="399"/>
      <c r="C14" s="400"/>
      <c r="D14" s="409"/>
      <c r="E14" s="401"/>
      <c r="F14" s="411"/>
      <c r="G14" s="402">
        <f>ROUND(D14*F14,2)</f>
        <v>0</v>
      </c>
    </row>
    <row r="15" spans="1:7" s="160" customFormat="1" ht="123" customHeight="1" x14ac:dyDescent="0.35">
      <c r="A15" s="398"/>
      <c r="B15" s="399"/>
      <c r="C15" s="400" t="s">
        <v>754</v>
      </c>
      <c r="D15" s="409">
        <v>72</v>
      </c>
      <c r="E15" s="401" t="s">
        <v>26</v>
      </c>
      <c r="F15" s="411"/>
      <c r="G15" s="402">
        <f>D15*F15</f>
        <v>0</v>
      </c>
    </row>
    <row r="16" spans="1:7" s="160" customFormat="1" ht="17.25" customHeight="1" x14ac:dyDescent="0.35">
      <c r="A16" s="398"/>
      <c r="B16" s="399"/>
      <c r="C16" s="400"/>
      <c r="D16" s="409"/>
      <c r="E16" s="401"/>
      <c r="F16" s="411"/>
      <c r="G16" s="402">
        <f>ROUND(D16*F16,2)</f>
        <v>0</v>
      </c>
    </row>
    <row r="17" spans="1:7" s="160" customFormat="1" ht="46.5" x14ac:dyDescent="0.35">
      <c r="A17" s="398"/>
      <c r="B17" s="399"/>
      <c r="C17" s="435" t="s">
        <v>755</v>
      </c>
      <c r="D17" s="442">
        <v>18</v>
      </c>
      <c r="E17" s="437" t="s">
        <v>883</v>
      </c>
      <c r="F17" s="438"/>
      <c r="G17" s="439">
        <f>D17*F17</f>
        <v>0</v>
      </c>
    </row>
    <row r="18" spans="1:7" s="160" customFormat="1" ht="17.25" customHeight="1" x14ac:dyDescent="0.35">
      <c r="A18" s="398"/>
      <c r="B18" s="399"/>
      <c r="C18" s="400"/>
      <c r="D18" s="409"/>
      <c r="E18" s="401"/>
      <c r="F18" s="411"/>
      <c r="G18" s="402">
        <f>ROUND(D18*F18,2)</f>
        <v>0</v>
      </c>
    </row>
    <row r="19" spans="1:7" s="160" customFormat="1" ht="46.5" x14ac:dyDescent="0.35">
      <c r="A19" s="398"/>
      <c r="B19" s="399"/>
      <c r="C19" s="400" t="s">
        <v>757</v>
      </c>
      <c r="D19" s="409">
        <v>6</v>
      </c>
      <c r="E19" s="414" t="s">
        <v>884</v>
      </c>
      <c r="F19" s="411"/>
      <c r="G19" s="402">
        <f>D19*F19</f>
        <v>0</v>
      </c>
    </row>
    <row r="20" spans="1:7" s="160" customFormat="1" ht="16.5" customHeight="1" x14ac:dyDescent="0.35">
      <c r="A20" s="398"/>
      <c r="B20" s="399"/>
      <c r="C20" s="400"/>
      <c r="D20" s="409"/>
      <c r="E20" s="401"/>
      <c r="F20" s="411"/>
      <c r="G20" s="402">
        <f>ROUND(D20*F20,2)</f>
        <v>0</v>
      </c>
    </row>
    <row r="21" spans="1:7" s="160" customFormat="1" ht="116.25" x14ac:dyDescent="0.35">
      <c r="A21" s="398"/>
      <c r="B21" s="399"/>
      <c r="C21" s="400" t="s">
        <v>924</v>
      </c>
      <c r="D21" s="409">
        <v>94</v>
      </c>
      <c r="E21" s="401" t="s">
        <v>26</v>
      </c>
      <c r="F21" s="411"/>
      <c r="G21" s="402">
        <f>D21*F21</f>
        <v>0</v>
      </c>
    </row>
    <row r="22" spans="1:7" s="160" customFormat="1" ht="18.75" customHeight="1" x14ac:dyDescent="0.35">
      <c r="A22" s="398"/>
      <c r="B22" s="399"/>
      <c r="C22" s="400"/>
      <c r="D22" s="409"/>
      <c r="E22" s="401"/>
      <c r="F22" s="411"/>
      <c r="G22" s="402">
        <f>ROUND(D22*F22,2)</f>
        <v>0</v>
      </c>
    </row>
    <row r="23" spans="1:7" s="160" customFormat="1" ht="116.25" x14ac:dyDescent="0.35">
      <c r="A23" s="398"/>
      <c r="B23" s="399"/>
      <c r="C23" s="400" t="s">
        <v>759</v>
      </c>
      <c r="D23" s="446">
        <v>16</v>
      </c>
      <c r="E23" s="401" t="s">
        <v>761</v>
      </c>
      <c r="F23" s="411"/>
      <c r="G23" s="402">
        <f>D23*F23</f>
        <v>0</v>
      </c>
    </row>
    <row r="24" spans="1:7" s="160" customFormat="1" ht="24" thickBot="1" x14ac:dyDescent="0.4">
      <c r="A24" s="398"/>
      <c r="B24" s="399"/>
      <c r="C24" s="400"/>
      <c r="D24" s="409"/>
      <c r="E24" s="401"/>
      <c r="F24" s="411"/>
      <c r="G24" s="402">
        <f>ROUND(D24*F24,2)</f>
        <v>0</v>
      </c>
    </row>
    <row r="25" spans="1:7" s="160" customFormat="1" ht="24" thickBot="1" x14ac:dyDescent="0.4">
      <c r="A25" s="398"/>
      <c r="B25" s="399"/>
      <c r="C25" s="404" t="s">
        <v>760</v>
      </c>
      <c r="D25" s="409"/>
      <c r="E25" s="401"/>
      <c r="F25" s="411"/>
      <c r="G25" s="405">
        <f>SUM(G7:G24)</f>
        <v>0</v>
      </c>
    </row>
    <row r="26" spans="1:7" s="160" customFormat="1" ht="24" thickBot="1" x14ac:dyDescent="0.4">
      <c r="A26" s="398"/>
      <c r="B26" s="399"/>
      <c r="C26" s="400"/>
      <c r="D26" s="409"/>
      <c r="E26" s="401"/>
      <c r="F26" s="411"/>
      <c r="G26" s="402">
        <f>ROUND(D26*F26,2)</f>
        <v>0</v>
      </c>
    </row>
    <row r="27" spans="1:7" x14ac:dyDescent="0.35">
      <c r="A27" s="383"/>
      <c r="B27" s="384"/>
      <c r="C27" s="385"/>
      <c r="D27" s="386"/>
      <c r="E27" s="387"/>
      <c r="F27" s="410"/>
      <c r="G27" s="387"/>
    </row>
    <row r="28" spans="1:7" s="160" customFormat="1" x14ac:dyDescent="0.35">
      <c r="A28" s="388"/>
      <c r="B28" s="389"/>
      <c r="C28" s="390"/>
      <c r="D28" s="391"/>
      <c r="E28" s="391"/>
      <c r="F28" s="393" t="s">
        <v>2</v>
      </c>
      <c r="G28" s="393"/>
    </row>
    <row r="29" spans="1:7" s="160" customFormat="1" ht="24" thickBot="1" x14ac:dyDescent="0.4">
      <c r="A29" s="394"/>
      <c r="B29" s="395"/>
      <c r="C29" s="396" t="s">
        <v>753</v>
      </c>
      <c r="D29" s="397" t="s">
        <v>3</v>
      </c>
      <c r="E29" s="397" t="s">
        <v>1</v>
      </c>
      <c r="F29" s="397" t="s">
        <v>4</v>
      </c>
      <c r="G29" s="397" t="s">
        <v>5</v>
      </c>
    </row>
    <row r="30" spans="1:7" s="160" customFormat="1" x14ac:dyDescent="0.35">
      <c r="A30" s="398"/>
      <c r="B30" s="399"/>
      <c r="C30" s="400"/>
      <c r="D30" s="409"/>
      <c r="E30" s="401"/>
      <c r="F30" s="411"/>
      <c r="G30" s="402">
        <f>ROUND(D30*F30,2)</f>
        <v>0</v>
      </c>
    </row>
    <row r="31" spans="1:7" s="160" customFormat="1" ht="46.5" x14ac:dyDescent="0.35">
      <c r="A31" s="398"/>
      <c r="B31" s="399"/>
      <c r="C31" s="403" t="s">
        <v>784</v>
      </c>
      <c r="D31" s="409"/>
      <c r="E31" s="401"/>
      <c r="F31" s="411"/>
      <c r="G31" s="402">
        <f>ROUND(D31*F31,2)</f>
        <v>0</v>
      </c>
    </row>
    <row r="32" spans="1:7" s="160" customFormat="1" x14ac:dyDescent="0.35">
      <c r="A32" s="398"/>
      <c r="B32" s="399"/>
      <c r="C32" s="400"/>
      <c r="D32" s="409"/>
      <c r="E32" s="401"/>
      <c r="F32" s="411"/>
      <c r="G32" s="402">
        <f>ROUND(D32*F32,2)</f>
        <v>0</v>
      </c>
    </row>
    <row r="33" spans="1:7" s="160" customFormat="1" ht="116.25" x14ac:dyDescent="0.35">
      <c r="A33" s="398"/>
      <c r="B33" s="399"/>
      <c r="C33" s="400" t="s">
        <v>769</v>
      </c>
      <c r="D33" s="446">
        <v>24</v>
      </c>
      <c r="E33" s="401" t="s">
        <v>761</v>
      </c>
      <c r="F33" s="411"/>
      <c r="G33" s="402">
        <f>D33*F33</f>
        <v>0</v>
      </c>
    </row>
    <row r="34" spans="1:7" s="160" customFormat="1" x14ac:dyDescent="0.35">
      <c r="A34" s="398"/>
      <c r="B34" s="399"/>
      <c r="C34" s="400"/>
      <c r="D34" s="409"/>
      <c r="E34" s="401"/>
      <c r="F34" s="411"/>
      <c r="G34" s="402">
        <f>ROUND(D34*F34,2)</f>
        <v>0</v>
      </c>
    </row>
    <row r="35" spans="1:7" s="160" customFormat="1" ht="116.25" x14ac:dyDescent="0.35">
      <c r="A35" s="398"/>
      <c r="B35" s="399"/>
      <c r="C35" s="435" t="s">
        <v>762</v>
      </c>
      <c r="D35" s="442">
        <v>48</v>
      </c>
      <c r="E35" s="440" t="s">
        <v>761</v>
      </c>
      <c r="F35" s="438"/>
      <c r="G35" s="439">
        <f>D35*F35</f>
        <v>0</v>
      </c>
    </row>
    <row r="36" spans="1:7" s="160" customFormat="1" x14ac:dyDescent="0.35">
      <c r="A36" s="398"/>
      <c r="B36" s="399"/>
      <c r="C36" s="400"/>
      <c r="D36" s="409"/>
      <c r="E36" s="401"/>
      <c r="F36" s="411"/>
      <c r="G36" s="402">
        <f>ROUND(D36*F36,2)</f>
        <v>0</v>
      </c>
    </row>
    <row r="37" spans="1:7" s="160" customFormat="1" ht="46.5" x14ac:dyDescent="0.35">
      <c r="A37" s="398"/>
      <c r="B37" s="399"/>
      <c r="C37" s="400" t="s">
        <v>764</v>
      </c>
      <c r="D37" s="409">
        <v>12</v>
      </c>
      <c r="E37" s="401" t="s">
        <v>761</v>
      </c>
      <c r="F37" s="411"/>
      <c r="G37" s="402">
        <f>D37*F37</f>
        <v>0</v>
      </c>
    </row>
    <row r="38" spans="1:7" s="160" customFormat="1" x14ac:dyDescent="0.35">
      <c r="A38" s="398"/>
      <c r="B38" s="399"/>
      <c r="C38" s="400"/>
      <c r="D38" s="409"/>
      <c r="E38" s="401"/>
      <c r="F38" s="411"/>
      <c r="G38" s="402">
        <f>ROUND(D38*F38,2)</f>
        <v>0</v>
      </c>
    </row>
    <row r="39" spans="1:7" s="160" customFormat="1" ht="46.5" x14ac:dyDescent="0.35">
      <c r="A39" s="398"/>
      <c r="B39" s="399"/>
      <c r="C39" s="400" t="s">
        <v>765</v>
      </c>
      <c r="D39" s="409">
        <v>12</v>
      </c>
      <c r="E39" s="401" t="s">
        <v>761</v>
      </c>
      <c r="F39" s="411"/>
      <c r="G39" s="402">
        <f>D39*F39</f>
        <v>0</v>
      </c>
    </row>
    <row r="40" spans="1:7" s="160" customFormat="1" x14ac:dyDescent="0.35">
      <c r="A40" s="398"/>
      <c r="B40" s="399"/>
      <c r="C40" s="400"/>
      <c r="D40" s="409"/>
      <c r="E40" s="401"/>
      <c r="F40" s="411"/>
      <c r="G40" s="402">
        <f>ROUND(D40*F40,2)</f>
        <v>0</v>
      </c>
    </row>
    <row r="41" spans="1:7" s="160" customFormat="1" ht="46.5" x14ac:dyDescent="0.35">
      <c r="A41" s="398"/>
      <c r="B41" s="399"/>
      <c r="C41" s="400" t="s">
        <v>770</v>
      </c>
      <c r="D41" s="409">
        <v>6</v>
      </c>
      <c r="E41" s="401" t="s">
        <v>761</v>
      </c>
      <c r="F41" s="411"/>
      <c r="G41" s="402">
        <f>D41*F41</f>
        <v>0</v>
      </c>
    </row>
    <row r="42" spans="1:7" s="160" customFormat="1" x14ac:dyDescent="0.35">
      <c r="A42" s="398"/>
      <c r="B42" s="399"/>
      <c r="C42" s="400"/>
      <c r="D42" s="409"/>
      <c r="E42" s="401"/>
      <c r="F42" s="411"/>
      <c r="G42" s="402">
        <f>ROUND(D42*F42,2)</f>
        <v>0</v>
      </c>
    </row>
    <row r="43" spans="1:7" s="160" customFormat="1" ht="186" x14ac:dyDescent="0.35">
      <c r="A43" s="398"/>
      <c r="B43" s="399"/>
      <c r="C43" s="400" t="s">
        <v>766</v>
      </c>
      <c r="D43" s="409">
        <v>6</v>
      </c>
      <c r="E43" s="401" t="s">
        <v>761</v>
      </c>
      <c r="F43" s="411"/>
      <c r="G43" s="402">
        <f>D43*F43</f>
        <v>0</v>
      </c>
    </row>
    <row r="44" spans="1:7" s="160" customFormat="1" x14ac:dyDescent="0.35">
      <c r="A44" s="398"/>
      <c r="B44" s="399"/>
      <c r="C44" s="400"/>
      <c r="D44" s="409"/>
      <c r="E44" s="401"/>
      <c r="F44" s="411"/>
      <c r="G44" s="402">
        <f>ROUND(D44*F44,2)</f>
        <v>0</v>
      </c>
    </row>
    <row r="45" spans="1:7" s="160" customFormat="1" ht="69.75" x14ac:dyDescent="0.35">
      <c r="A45" s="398"/>
      <c r="B45" s="399"/>
      <c r="C45" s="400" t="s">
        <v>771</v>
      </c>
      <c r="D45" s="409">
        <v>34</v>
      </c>
      <c r="E45" s="401" t="s">
        <v>772</v>
      </c>
      <c r="F45" s="411"/>
      <c r="G45" s="402">
        <f>D45*F45</f>
        <v>0</v>
      </c>
    </row>
    <row r="46" spans="1:7" s="160" customFormat="1" x14ac:dyDescent="0.35">
      <c r="A46" s="398"/>
      <c r="B46" s="399"/>
      <c r="C46" s="400"/>
      <c r="D46" s="409"/>
      <c r="E46" s="401"/>
      <c r="F46" s="411"/>
      <c r="G46" s="402">
        <f>ROUND(D46*F46,2)</f>
        <v>0</v>
      </c>
    </row>
    <row r="47" spans="1:7" s="160" customFormat="1" ht="93" x14ac:dyDescent="0.35">
      <c r="A47" s="398"/>
      <c r="B47" s="399"/>
      <c r="C47" s="435" t="s">
        <v>773</v>
      </c>
      <c r="D47" s="442">
        <v>448</v>
      </c>
      <c r="E47" s="440" t="s">
        <v>772</v>
      </c>
      <c r="F47" s="438"/>
      <c r="G47" s="439">
        <f>D47*F47</f>
        <v>0</v>
      </c>
    </row>
    <row r="48" spans="1:7" s="160" customFormat="1" ht="24" thickBot="1" x14ac:dyDescent="0.4">
      <c r="A48" s="398"/>
      <c r="B48" s="399"/>
      <c r="C48" s="400"/>
      <c r="D48" s="409"/>
      <c r="E48" s="401"/>
      <c r="F48" s="411"/>
      <c r="G48" s="402">
        <f>ROUND(D48*F48,2)</f>
        <v>0</v>
      </c>
    </row>
    <row r="49" spans="1:7" s="160" customFormat="1" ht="24" thickBot="1" x14ac:dyDescent="0.4">
      <c r="A49" s="398"/>
      <c r="B49" s="399"/>
      <c r="C49" s="404" t="s">
        <v>760</v>
      </c>
      <c r="D49" s="409"/>
      <c r="E49" s="401"/>
      <c r="F49" s="411"/>
      <c r="G49" s="405">
        <f>SUM(G33:G48)</f>
        <v>0</v>
      </c>
    </row>
    <row r="50" spans="1:7" s="160" customFormat="1" ht="24" thickBot="1" x14ac:dyDescent="0.4">
      <c r="A50" s="398"/>
      <c r="B50" s="399"/>
      <c r="C50" s="400"/>
      <c r="D50" s="409"/>
      <c r="E50" s="401"/>
      <c r="F50" s="411"/>
      <c r="G50" s="402">
        <f>ROUND(D50*F50,2)</f>
        <v>0</v>
      </c>
    </row>
    <row r="51" spans="1:7" x14ac:dyDescent="0.35">
      <c r="A51" s="383"/>
      <c r="B51" s="384"/>
      <c r="C51" s="385"/>
      <c r="D51" s="386"/>
      <c r="E51" s="387"/>
      <c r="F51" s="410"/>
      <c r="G51" s="387"/>
    </row>
    <row r="52" spans="1:7" s="160" customFormat="1" x14ac:dyDescent="0.35">
      <c r="A52" s="388"/>
      <c r="B52" s="389"/>
      <c r="C52" s="390"/>
      <c r="D52" s="391"/>
      <c r="E52" s="391"/>
      <c r="F52" s="393" t="s">
        <v>2</v>
      </c>
      <c r="G52" s="393"/>
    </row>
    <row r="53" spans="1:7" s="160" customFormat="1" ht="24" thickBot="1" x14ac:dyDescent="0.4">
      <c r="A53" s="394"/>
      <c r="B53" s="395"/>
      <c r="C53" s="396" t="s">
        <v>753</v>
      </c>
      <c r="D53" s="397" t="s">
        <v>3</v>
      </c>
      <c r="E53" s="397" t="s">
        <v>1</v>
      </c>
      <c r="F53" s="397" t="s">
        <v>4</v>
      </c>
      <c r="G53" s="397" t="s">
        <v>5</v>
      </c>
    </row>
    <row r="54" spans="1:7" s="160" customFormat="1" x14ac:dyDescent="0.35">
      <c r="A54" s="398"/>
      <c r="B54" s="399"/>
      <c r="C54" s="400"/>
      <c r="D54" s="409"/>
      <c r="E54" s="401"/>
      <c r="F54" s="411"/>
      <c r="G54" s="402">
        <f>ROUND(D54*F54,2)</f>
        <v>0</v>
      </c>
    </row>
    <row r="55" spans="1:7" s="160" customFormat="1" ht="46.5" x14ac:dyDescent="0.35">
      <c r="A55" s="398"/>
      <c r="B55" s="399"/>
      <c r="C55" s="403" t="s">
        <v>784</v>
      </c>
      <c r="D55" s="409"/>
      <c r="E55" s="401"/>
      <c r="F55" s="411"/>
      <c r="G55" s="402">
        <f>ROUND(D55*F55,2)</f>
        <v>0</v>
      </c>
    </row>
    <row r="56" spans="1:7" s="160" customFormat="1" x14ac:dyDescent="0.35">
      <c r="A56" s="398"/>
      <c r="B56" s="399"/>
      <c r="C56" s="400"/>
      <c r="D56" s="409"/>
      <c r="E56" s="401"/>
      <c r="F56" s="411"/>
      <c r="G56" s="402">
        <f>ROUND(D56*F56,2)</f>
        <v>0</v>
      </c>
    </row>
    <row r="57" spans="1:7" s="160" customFormat="1" ht="116.25" x14ac:dyDescent="0.35">
      <c r="A57" s="398"/>
      <c r="B57" s="399"/>
      <c r="C57" s="400" t="s">
        <v>890</v>
      </c>
      <c r="D57" s="409">
        <v>130</v>
      </c>
      <c r="E57" s="401" t="s">
        <v>772</v>
      </c>
      <c r="F57" s="411"/>
      <c r="G57" s="402">
        <f>D57*F57</f>
        <v>0</v>
      </c>
    </row>
    <row r="58" spans="1:7" s="160" customFormat="1" x14ac:dyDescent="0.35">
      <c r="A58" s="398"/>
      <c r="B58" s="399"/>
      <c r="C58" s="400"/>
      <c r="D58" s="409"/>
      <c r="E58" s="401"/>
      <c r="F58" s="411"/>
      <c r="G58" s="402">
        <f t="shared" ref="G58:G76" si="0">ROUND(D58*F58,2)</f>
        <v>0</v>
      </c>
    </row>
    <row r="59" spans="1:7" s="160" customFormat="1" ht="69.75" x14ac:dyDescent="0.35">
      <c r="A59" s="398"/>
      <c r="B59" s="399"/>
      <c r="C59" s="400" t="s">
        <v>832</v>
      </c>
      <c r="D59" s="409">
        <v>130</v>
      </c>
      <c r="E59" s="401" t="s">
        <v>772</v>
      </c>
      <c r="F59" s="411"/>
      <c r="G59" s="402">
        <f>D59*F59</f>
        <v>0</v>
      </c>
    </row>
    <row r="60" spans="1:7" s="160" customFormat="1" x14ac:dyDescent="0.35">
      <c r="A60" s="398"/>
      <c r="B60" s="399"/>
      <c r="C60" s="400"/>
      <c r="D60" s="409"/>
      <c r="E60" s="401"/>
      <c r="F60" s="411"/>
      <c r="G60" s="402">
        <f t="shared" si="0"/>
        <v>0</v>
      </c>
    </row>
    <row r="61" spans="1:7" s="160" customFormat="1" ht="46.5" x14ac:dyDescent="0.35">
      <c r="A61" s="398"/>
      <c r="B61" s="399"/>
      <c r="C61" s="435" t="s">
        <v>774</v>
      </c>
      <c r="D61" s="442">
        <v>130</v>
      </c>
      <c r="E61" s="440" t="s">
        <v>772</v>
      </c>
      <c r="F61" s="438"/>
      <c r="G61" s="439">
        <f>D61*F61</f>
        <v>0</v>
      </c>
    </row>
    <row r="62" spans="1:7" s="160" customFormat="1" x14ac:dyDescent="0.35">
      <c r="A62" s="398"/>
      <c r="B62" s="399"/>
      <c r="C62" s="400"/>
      <c r="D62" s="409"/>
      <c r="E62" s="401"/>
      <c r="F62" s="411"/>
      <c r="G62" s="402">
        <f t="shared" si="0"/>
        <v>0</v>
      </c>
    </row>
    <row r="63" spans="1:7" s="160" customFormat="1" ht="93" x14ac:dyDescent="0.35">
      <c r="A63" s="398"/>
      <c r="B63" s="399"/>
      <c r="C63" s="400" t="s">
        <v>775</v>
      </c>
      <c r="D63" s="409">
        <v>76</v>
      </c>
      <c r="E63" s="401" t="s">
        <v>772</v>
      </c>
      <c r="F63" s="411"/>
      <c r="G63" s="402">
        <f>D63*F63</f>
        <v>0</v>
      </c>
    </row>
    <row r="64" spans="1:7" s="160" customFormat="1" x14ac:dyDescent="0.35">
      <c r="A64" s="398"/>
      <c r="B64" s="399"/>
      <c r="C64" s="400"/>
      <c r="D64" s="409"/>
      <c r="E64" s="401"/>
      <c r="F64" s="411"/>
      <c r="G64" s="402">
        <f t="shared" si="0"/>
        <v>0</v>
      </c>
    </row>
    <row r="65" spans="1:7" s="160" customFormat="1" ht="46.5" x14ac:dyDescent="0.35">
      <c r="A65" s="398"/>
      <c r="B65" s="399"/>
      <c r="C65" s="400" t="s">
        <v>776</v>
      </c>
      <c r="D65" s="409">
        <v>76</v>
      </c>
      <c r="E65" s="401" t="s">
        <v>772</v>
      </c>
      <c r="F65" s="411"/>
      <c r="G65" s="402">
        <f>D65*F65</f>
        <v>0</v>
      </c>
    </row>
    <row r="66" spans="1:7" s="160" customFormat="1" x14ac:dyDescent="0.35">
      <c r="A66" s="398"/>
      <c r="B66" s="399"/>
      <c r="C66" s="400"/>
      <c r="D66" s="409"/>
      <c r="E66" s="401"/>
      <c r="F66" s="411"/>
      <c r="G66" s="402">
        <f t="shared" si="0"/>
        <v>0</v>
      </c>
    </row>
    <row r="67" spans="1:7" s="160" customFormat="1" ht="116.25" x14ac:dyDescent="0.35">
      <c r="A67" s="398"/>
      <c r="B67" s="399"/>
      <c r="C67" s="400" t="s">
        <v>781</v>
      </c>
      <c r="D67" s="409">
        <v>252</v>
      </c>
      <c r="E67" s="401" t="s">
        <v>772</v>
      </c>
      <c r="F67" s="411"/>
      <c r="G67" s="402">
        <f>D67*F67</f>
        <v>0</v>
      </c>
    </row>
    <row r="68" spans="1:7" s="160" customFormat="1" x14ac:dyDescent="0.35">
      <c r="A68" s="398"/>
      <c r="B68" s="399"/>
      <c r="C68" s="400"/>
      <c r="D68" s="409"/>
      <c r="E68" s="401"/>
      <c r="F68" s="411"/>
      <c r="G68" s="402">
        <f t="shared" si="0"/>
        <v>0</v>
      </c>
    </row>
    <row r="69" spans="1:7" s="160" customFormat="1" ht="116.25" x14ac:dyDescent="0.35">
      <c r="A69" s="398"/>
      <c r="B69" s="399"/>
      <c r="C69" s="400" t="s">
        <v>782</v>
      </c>
      <c r="D69" s="409">
        <v>144</v>
      </c>
      <c r="E69" s="401" t="s">
        <v>772</v>
      </c>
      <c r="F69" s="411"/>
      <c r="G69" s="402">
        <f>D69*F69</f>
        <v>0</v>
      </c>
    </row>
    <row r="70" spans="1:7" s="160" customFormat="1" x14ac:dyDescent="0.35">
      <c r="A70" s="398"/>
      <c r="B70" s="399"/>
      <c r="C70" s="400"/>
      <c r="D70" s="409"/>
      <c r="E70" s="401"/>
      <c r="F70" s="411"/>
      <c r="G70" s="402">
        <f t="shared" si="0"/>
        <v>0</v>
      </c>
    </row>
    <row r="71" spans="1:7" s="160" customFormat="1" ht="93" x14ac:dyDescent="0.35">
      <c r="A71" s="398"/>
      <c r="B71" s="399"/>
      <c r="C71" s="400" t="s">
        <v>864</v>
      </c>
      <c r="D71" s="409">
        <v>1</v>
      </c>
      <c r="E71" s="401" t="s">
        <v>761</v>
      </c>
      <c r="F71" s="411"/>
      <c r="G71" s="402">
        <f>D71*F71</f>
        <v>0</v>
      </c>
    </row>
    <row r="72" spans="1:7" s="160" customFormat="1" x14ac:dyDescent="0.35">
      <c r="A72" s="398"/>
      <c r="B72" s="399"/>
      <c r="C72" s="400"/>
      <c r="D72" s="409"/>
      <c r="E72" s="401"/>
      <c r="F72" s="411"/>
      <c r="G72" s="402">
        <f t="shared" si="0"/>
        <v>0</v>
      </c>
    </row>
    <row r="73" spans="1:7" s="160" customFormat="1" x14ac:dyDescent="0.35">
      <c r="A73" s="398"/>
      <c r="B73" s="399"/>
      <c r="C73" s="400"/>
      <c r="D73" s="409"/>
      <c r="E73" s="401"/>
      <c r="F73" s="411"/>
      <c r="G73" s="402">
        <f t="shared" si="0"/>
        <v>0</v>
      </c>
    </row>
    <row r="74" spans="1:7" s="160" customFormat="1" ht="24" thickBot="1" x14ac:dyDescent="0.4">
      <c r="A74" s="398"/>
      <c r="B74" s="399"/>
      <c r="C74" s="400"/>
      <c r="D74" s="409"/>
      <c r="E74" s="401"/>
      <c r="F74" s="411"/>
      <c r="G74" s="402">
        <f t="shared" si="0"/>
        <v>0</v>
      </c>
    </row>
    <row r="75" spans="1:7" s="160" customFormat="1" ht="24" thickBot="1" x14ac:dyDescent="0.4">
      <c r="A75" s="398"/>
      <c r="B75" s="399"/>
      <c r="C75" s="404" t="s">
        <v>760</v>
      </c>
      <c r="D75" s="409"/>
      <c r="E75" s="401"/>
      <c r="F75" s="411"/>
      <c r="G75" s="405">
        <f>SUM(G56:G74)</f>
        <v>0</v>
      </c>
    </row>
    <row r="76" spans="1:7" s="160" customFormat="1" ht="24" thickBot="1" x14ac:dyDescent="0.4">
      <c r="A76" s="398"/>
      <c r="B76" s="399"/>
      <c r="C76" s="400"/>
      <c r="D76" s="409"/>
      <c r="E76" s="401"/>
      <c r="F76" s="411"/>
      <c r="G76" s="402">
        <f t="shared" si="0"/>
        <v>0</v>
      </c>
    </row>
    <row r="77" spans="1:7" x14ac:dyDescent="0.35">
      <c r="A77" s="383"/>
      <c r="B77" s="384"/>
      <c r="C77" s="385"/>
      <c r="D77" s="386"/>
      <c r="E77" s="387"/>
      <c r="F77" s="410"/>
      <c r="G77" s="387"/>
    </row>
    <row r="78" spans="1:7" s="160" customFormat="1" x14ac:dyDescent="0.35">
      <c r="A78" s="388"/>
      <c r="B78" s="389"/>
      <c r="C78" s="390"/>
      <c r="D78" s="391"/>
      <c r="E78" s="391"/>
      <c r="F78" s="393" t="s">
        <v>2</v>
      </c>
      <c r="G78" s="393"/>
    </row>
    <row r="79" spans="1:7" s="160" customFormat="1" ht="24" thickBot="1" x14ac:dyDescent="0.4">
      <c r="A79" s="394"/>
      <c r="B79" s="395"/>
      <c r="C79" s="396" t="s">
        <v>753</v>
      </c>
      <c r="D79" s="397" t="s">
        <v>3</v>
      </c>
      <c r="E79" s="397" t="s">
        <v>1</v>
      </c>
      <c r="F79" s="397" t="s">
        <v>4</v>
      </c>
      <c r="G79" s="397" t="s">
        <v>5</v>
      </c>
    </row>
    <row r="80" spans="1:7" s="160" customFormat="1" x14ac:dyDescent="0.35">
      <c r="A80" s="398"/>
      <c r="B80" s="399"/>
      <c r="C80" s="400"/>
      <c r="D80" s="409"/>
      <c r="E80" s="401"/>
      <c r="F80" s="411"/>
      <c r="G80" s="402">
        <f t="shared" ref="G80:G130" si="1">ROUND(D80*F80,2)</f>
        <v>0</v>
      </c>
    </row>
    <row r="81" spans="1:7" s="160" customFormat="1" ht="46.5" x14ac:dyDescent="0.35">
      <c r="A81" s="398"/>
      <c r="B81" s="399"/>
      <c r="C81" s="403" t="s">
        <v>784</v>
      </c>
      <c r="D81" s="409"/>
      <c r="E81" s="401"/>
      <c r="F81" s="411"/>
      <c r="G81" s="402">
        <f t="shared" si="1"/>
        <v>0</v>
      </c>
    </row>
    <row r="82" spans="1:7" s="160" customFormat="1" ht="18.75" customHeight="1" x14ac:dyDescent="0.35">
      <c r="A82" s="398"/>
      <c r="B82" s="399"/>
      <c r="C82" s="400"/>
      <c r="D82" s="409"/>
      <c r="E82" s="401"/>
      <c r="F82" s="411"/>
      <c r="G82" s="402">
        <f t="shared" si="1"/>
        <v>0</v>
      </c>
    </row>
    <row r="83" spans="1:7" s="160" customFormat="1" ht="139.5" x14ac:dyDescent="0.35">
      <c r="A83" s="398"/>
      <c r="B83" s="399"/>
      <c r="C83" s="400" t="s">
        <v>778</v>
      </c>
      <c r="D83" s="409">
        <v>6</v>
      </c>
      <c r="E83" s="401" t="s">
        <v>777</v>
      </c>
      <c r="F83" s="411"/>
      <c r="G83" s="402">
        <f>D83*F83</f>
        <v>0</v>
      </c>
    </row>
    <row r="84" spans="1:7" s="160" customFormat="1" x14ac:dyDescent="0.35">
      <c r="A84" s="398"/>
      <c r="B84" s="399"/>
      <c r="C84" s="400"/>
      <c r="D84" s="409"/>
      <c r="E84" s="401"/>
      <c r="F84" s="411"/>
      <c r="G84" s="402">
        <f t="shared" si="1"/>
        <v>0</v>
      </c>
    </row>
    <row r="85" spans="1:7" s="160" customFormat="1" ht="116.25" x14ac:dyDescent="0.35">
      <c r="A85" s="398"/>
      <c r="B85" s="399"/>
      <c r="C85" s="400" t="s">
        <v>779</v>
      </c>
      <c r="D85" s="409">
        <v>6</v>
      </c>
      <c r="E85" s="401" t="s">
        <v>777</v>
      </c>
      <c r="F85" s="411"/>
      <c r="G85" s="402">
        <f>D85*F85</f>
        <v>0</v>
      </c>
    </row>
    <row r="86" spans="1:7" s="160" customFormat="1" x14ac:dyDescent="0.35">
      <c r="A86" s="398"/>
      <c r="B86" s="399"/>
      <c r="C86" s="400"/>
      <c r="D86" s="409"/>
      <c r="E86" s="401"/>
      <c r="F86" s="411"/>
      <c r="G86" s="402">
        <f t="shared" si="1"/>
        <v>0</v>
      </c>
    </row>
    <row r="87" spans="1:7" s="160" customFormat="1" ht="139.5" x14ac:dyDescent="0.35">
      <c r="A87" s="398"/>
      <c r="B87" s="399"/>
      <c r="C87" s="400" t="s">
        <v>780</v>
      </c>
      <c r="D87" s="409">
        <v>6</v>
      </c>
      <c r="E87" s="401" t="s">
        <v>777</v>
      </c>
      <c r="F87" s="411"/>
      <c r="G87" s="402">
        <f>D87*F87</f>
        <v>0</v>
      </c>
    </row>
    <row r="88" spans="1:7" s="160" customFormat="1" x14ac:dyDescent="0.35">
      <c r="A88" s="398"/>
      <c r="B88" s="399"/>
      <c r="C88" s="400"/>
      <c r="D88" s="409"/>
      <c r="E88" s="401"/>
      <c r="F88" s="411"/>
      <c r="G88" s="402">
        <f t="shared" si="1"/>
        <v>0</v>
      </c>
    </row>
    <row r="89" spans="1:7" s="160" customFormat="1" ht="116.25" x14ac:dyDescent="0.35">
      <c r="A89" s="398"/>
      <c r="B89" s="399"/>
      <c r="C89" s="400" t="s">
        <v>834</v>
      </c>
      <c r="D89" s="409">
        <v>72</v>
      </c>
      <c r="E89" s="401" t="s">
        <v>26</v>
      </c>
      <c r="F89" s="411"/>
      <c r="G89" s="402">
        <f>D89*F89</f>
        <v>0</v>
      </c>
    </row>
    <row r="90" spans="1:7" s="160" customFormat="1" x14ac:dyDescent="0.35">
      <c r="A90" s="398"/>
      <c r="B90" s="399"/>
      <c r="C90" s="400"/>
      <c r="D90" s="409"/>
      <c r="E90" s="401"/>
      <c r="F90" s="411"/>
      <c r="G90" s="402">
        <f t="shared" si="1"/>
        <v>0</v>
      </c>
    </row>
    <row r="91" spans="1:7" s="160" customFormat="1" ht="162.75" x14ac:dyDescent="0.35">
      <c r="A91" s="398"/>
      <c r="B91" s="399"/>
      <c r="C91" s="400" t="s">
        <v>868</v>
      </c>
      <c r="D91" s="409">
        <v>6</v>
      </c>
      <c r="E91" s="401" t="s">
        <v>777</v>
      </c>
      <c r="F91" s="411"/>
      <c r="G91" s="402">
        <f>D91*F91</f>
        <v>0</v>
      </c>
    </row>
    <row r="92" spans="1:7" s="160" customFormat="1" x14ac:dyDescent="0.35">
      <c r="A92" s="398"/>
      <c r="B92" s="399"/>
      <c r="C92" s="400"/>
      <c r="D92" s="409"/>
      <c r="E92" s="401"/>
      <c r="F92" s="411"/>
      <c r="G92" s="402">
        <f t="shared" si="1"/>
        <v>0</v>
      </c>
    </row>
    <row r="93" spans="1:7" s="160" customFormat="1" x14ac:dyDescent="0.35">
      <c r="A93" s="398"/>
      <c r="B93" s="399"/>
      <c r="C93" s="400"/>
      <c r="D93" s="409"/>
      <c r="E93" s="401"/>
      <c r="F93" s="411"/>
      <c r="G93" s="402">
        <f t="shared" si="1"/>
        <v>0</v>
      </c>
    </row>
    <row r="94" spans="1:7" s="160" customFormat="1" x14ac:dyDescent="0.35">
      <c r="A94" s="398"/>
      <c r="B94" s="399"/>
      <c r="C94" s="400"/>
      <c r="D94" s="409"/>
      <c r="E94" s="401"/>
      <c r="F94" s="411"/>
      <c r="G94" s="402">
        <f t="shared" si="1"/>
        <v>0</v>
      </c>
    </row>
    <row r="95" spans="1:7" s="160" customFormat="1" x14ac:dyDescent="0.35">
      <c r="A95" s="398"/>
      <c r="B95" s="399"/>
      <c r="C95" s="400"/>
      <c r="D95" s="409"/>
      <c r="E95" s="401"/>
      <c r="F95" s="411"/>
      <c r="G95" s="402">
        <f t="shared" si="1"/>
        <v>0</v>
      </c>
    </row>
    <row r="96" spans="1:7" s="160" customFormat="1" x14ac:dyDescent="0.35">
      <c r="A96" s="398"/>
      <c r="B96" s="399"/>
      <c r="C96" s="400"/>
      <c r="D96" s="409"/>
      <c r="E96" s="401"/>
      <c r="F96" s="411"/>
      <c r="G96" s="402">
        <f t="shared" si="1"/>
        <v>0</v>
      </c>
    </row>
    <row r="97" spans="1:7" s="160" customFormat="1" x14ac:dyDescent="0.35">
      <c r="A97" s="398"/>
      <c r="B97" s="399"/>
      <c r="C97" s="400"/>
      <c r="D97" s="409"/>
      <c r="E97" s="401"/>
      <c r="F97" s="411"/>
      <c r="G97" s="402">
        <f t="shared" si="1"/>
        <v>0</v>
      </c>
    </row>
    <row r="98" spans="1:7" s="160" customFormat="1" ht="24" thickBot="1" x14ac:dyDescent="0.4">
      <c r="A98" s="398"/>
      <c r="B98" s="399"/>
      <c r="C98" s="400"/>
      <c r="D98" s="409"/>
      <c r="E98" s="401"/>
      <c r="F98" s="411"/>
      <c r="G98" s="402">
        <f t="shared" si="1"/>
        <v>0</v>
      </c>
    </row>
    <row r="99" spans="1:7" s="160" customFormat="1" ht="24" thickBot="1" x14ac:dyDescent="0.4">
      <c r="A99" s="398"/>
      <c r="B99" s="399"/>
      <c r="C99" s="404" t="s">
        <v>760</v>
      </c>
      <c r="D99" s="409"/>
      <c r="E99" s="401"/>
      <c r="F99" s="411"/>
      <c r="G99" s="405">
        <f>SUM(G81:G98)</f>
        <v>0</v>
      </c>
    </row>
    <row r="100" spans="1:7" s="160" customFormat="1" x14ac:dyDescent="0.35">
      <c r="A100" s="398"/>
      <c r="B100" s="399"/>
      <c r="C100" s="400"/>
      <c r="D100" s="409"/>
      <c r="E100" s="401"/>
      <c r="F100" s="411"/>
      <c r="G100" s="402">
        <f t="shared" si="1"/>
        <v>0</v>
      </c>
    </row>
    <row r="101" spans="1:7" s="160" customFormat="1" x14ac:dyDescent="0.35">
      <c r="A101" s="398"/>
      <c r="B101" s="399"/>
      <c r="C101" s="400"/>
      <c r="D101" s="409"/>
      <c r="E101" s="401"/>
      <c r="F101" s="411"/>
      <c r="G101" s="402">
        <f t="shared" si="1"/>
        <v>0</v>
      </c>
    </row>
    <row r="102" spans="1:7" s="160" customFormat="1" ht="24" thickBot="1" x14ac:dyDescent="0.4">
      <c r="A102" s="398"/>
      <c r="B102" s="399"/>
      <c r="C102" s="400"/>
      <c r="D102" s="409"/>
      <c r="E102" s="401"/>
      <c r="F102" s="411"/>
      <c r="G102" s="402">
        <f t="shared" si="1"/>
        <v>0</v>
      </c>
    </row>
    <row r="103" spans="1:7" x14ac:dyDescent="0.35">
      <c r="A103" s="383"/>
      <c r="B103" s="384"/>
      <c r="C103" s="385"/>
      <c r="D103" s="386"/>
      <c r="E103" s="387"/>
      <c r="F103" s="410"/>
      <c r="G103" s="387"/>
    </row>
    <row r="104" spans="1:7" s="160" customFormat="1" x14ac:dyDescent="0.35">
      <c r="A104" s="388"/>
      <c r="B104" s="389"/>
      <c r="C104" s="390"/>
      <c r="D104" s="391"/>
      <c r="E104" s="391"/>
      <c r="F104" s="393" t="s">
        <v>2</v>
      </c>
      <c r="G104" s="393"/>
    </row>
    <row r="105" spans="1:7" s="160" customFormat="1" ht="24" thickBot="1" x14ac:dyDescent="0.4">
      <c r="A105" s="394"/>
      <c r="B105" s="395"/>
      <c r="C105" s="396" t="s">
        <v>753</v>
      </c>
      <c r="D105" s="397" t="s">
        <v>3</v>
      </c>
      <c r="E105" s="397" t="s">
        <v>1</v>
      </c>
      <c r="F105" s="397" t="s">
        <v>4</v>
      </c>
      <c r="G105" s="397" t="s">
        <v>5</v>
      </c>
    </row>
    <row r="106" spans="1:7" s="160" customFormat="1" x14ac:dyDescent="0.35">
      <c r="A106" s="398"/>
      <c r="B106" s="399"/>
      <c r="C106" s="400"/>
      <c r="D106" s="409"/>
      <c r="E106" s="401"/>
      <c r="F106" s="411"/>
      <c r="G106" s="402">
        <f t="shared" si="1"/>
        <v>0</v>
      </c>
    </row>
    <row r="107" spans="1:7" s="160" customFormat="1" ht="46.5" x14ac:dyDescent="0.35">
      <c r="A107" s="398"/>
      <c r="B107" s="399"/>
      <c r="C107" s="403" t="s">
        <v>784</v>
      </c>
      <c r="D107" s="409"/>
      <c r="E107" s="401"/>
      <c r="F107" s="411"/>
      <c r="G107" s="402">
        <f t="shared" si="1"/>
        <v>0</v>
      </c>
    </row>
    <row r="108" spans="1:7" s="160" customFormat="1" x14ac:dyDescent="0.35">
      <c r="A108" s="398"/>
      <c r="B108" s="399"/>
      <c r="C108" s="400"/>
      <c r="D108" s="409"/>
      <c r="E108" s="401"/>
      <c r="F108" s="411"/>
      <c r="G108" s="402">
        <f t="shared" si="1"/>
        <v>0</v>
      </c>
    </row>
    <row r="109" spans="1:7" s="160" customFormat="1" x14ac:dyDescent="0.35">
      <c r="A109" s="398"/>
      <c r="B109" s="399"/>
      <c r="C109" s="412" t="s">
        <v>786</v>
      </c>
      <c r="D109" s="409"/>
      <c r="E109" s="401"/>
      <c r="F109" s="411"/>
      <c r="G109" s="402">
        <f t="shared" si="1"/>
        <v>0</v>
      </c>
    </row>
    <row r="110" spans="1:7" s="160" customFormat="1" x14ac:dyDescent="0.35">
      <c r="A110" s="398"/>
      <c r="B110" s="399"/>
      <c r="C110" s="400"/>
      <c r="D110" s="409"/>
      <c r="E110" s="401"/>
      <c r="F110" s="411"/>
      <c r="G110" s="402">
        <f t="shared" si="1"/>
        <v>0</v>
      </c>
    </row>
    <row r="111" spans="1:7" s="160" customFormat="1" ht="46.5" x14ac:dyDescent="0.35">
      <c r="A111" s="398"/>
      <c r="B111" s="399"/>
      <c r="C111" s="400" t="s">
        <v>789</v>
      </c>
      <c r="D111" s="409">
        <v>1</v>
      </c>
      <c r="E111" s="401" t="s">
        <v>756</v>
      </c>
      <c r="F111" s="411"/>
      <c r="G111" s="402">
        <f>D111*F111</f>
        <v>0</v>
      </c>
    </row>
    <row r="112" spans="1:7" s="160" customFormat="1" x14ac:dyDescent="0.35">
      <c r="A112" s="398"/>
      <c r="B112" s="399"/>
      <c r="C112" s="400"/>
      <c r="D112" s="409"/>
      <c r="E112" s="401"/>
      <c r="F112" s="411"/>
      <c r="G112" s="402">
        <f t="shared" si="1"/>
        <v>0</v>
      </c>
    </row>
    <row r="113" spans="1:7" s="160" customFormat="1" ht="69.75" x14ac:dyDescent="0.35">
      <c r="A113" s="398"/>
      <c r="B113" s="399"/>
      <c r="C113" s="400" t="s">
        <v>787</v>
      </c>
      <c r="D113" s="409">
        <v>31</v>
      </c>
      <c r="E113" s="401" t="s">
        <v>26</v>
      </c>
      <c r="F113" s="411"/>
      <c r="G113" s="402">
        <f>D113*F113</f>
        <v>0</v>
      </c>
    </row>
    <row r="114" spans="1:7" s="160" customFormat="1" x14ac:dyDescent="0.35">
      <c r="A114" s="398"/>
      <c r="B114" s="399"/>
      <c r="C114" s="400"/>
      <c r="D114" s="409"/>
      <c r="E114" s="401"/>
      <c r="F114" s="411"/>
      <c r="G114" s="402">
        <f t="shared" si="1"/>
        <v>0</v>
      </c>
    </row>
    <row r="115" spans="1:7" s="160" customFormat="1" ht="46.5" x14ac:dyDescent="0.35">
      <c r="A115" s="398"/>
      <c r="B115" s="399"/>
      <c r="C115" s="400" t="s">
        <v>788</v>
      </c>
      <c r="D115" s="409">
        <v>434</v>
      </c>
      <c r="E115" s="401" t="s">
        <v>772</v>
      </c>
      <c r="F115" s="411"/>
      <c r="G115" s="402">
        <f>D115*F115</f>
        <v>0</v>
      </c>
    </row>
    <row r="116" spans="1:7" s="160" customFormat="1" x14ac:dyDescent="0.35">
      <c r="A116" s="398"/>
      <c r="B116" s="399"/>
      <c r="C116" s="400"/>
      <c r="D116" s="409"/>
      <c r="E116" s="401"/>
      <c r="F116" s="411"/>
      <c r="G116" s="402">
        <f t="shared" si="1"/>
        <v>0</v>
      </c>
    </row>
    <row r="117" spans="1:7" s="160" customFormat="1" ht="116.25" x14ac:dyDescent="0.35">
      <c r="A117" s="398"/>
      <c r="B117" s="399"/>
      <c r="C117" s="400" t="s">
        <v>791</v>
      </c>
      <c r="D117" s="409"/>
      <c r="E117" s="401"/>
      <c r="F117" s="411"/>
      <c r="G117" s="402">
        <f t="shared" si="1"/>
        <v>0</v>
      </c>
    </row>
    <row r="118" spans="1:7" s="160" customFormat="1" ht="24" thickBot="1" x14ac:dyDescent="0.4">
      <c r="A118" s="398"/>
      <c r="B118" s="399"/>
      <c r="C118" s="400"/>
      <c r="D118" s="409"/>
      <c r="E118" s="401"/>
      <c r="F118" s="411"/>
      <c r="G118" s="402">
        <f t="shared" si="1"/>
        <v>0</v>
      </c>
    </row>
    <row r="119" spans="1:7" s="160" customFormat="1" ht="70.5" thickBot="1" x14ac:dyDescent="0.4">
      <c r="A119" s="398"/>
      <c r="B119" s="399"/>
      <c r="C119" s="400" t="s">
        <v>938</v>
      </c>
      <c r="D119" s="409">
        <v>1</v>
      </c>
      <c r="E119" s="401" t="s">
        <v>756</v>
      </c>
      <c r="F119" s="411"/>
      <c r="G119" s="433">
        <f>D119*F119</f>
        <v>0</v>
      </c>
    </row>
    <row r="120" spans="1:7" s="160" customFormat="1" ht="24" thickBot="1" x14ac:dyDescent="0.4">
      <c r="A120" s="398"/>
      <c r="B120" s="399"/>
      <c r="C120" s="400"/>
      <c r="D120" s="409"/>
      <c r="E120" s="401"/>
      <c r="F120" s="411"/>
      <c r="G120" s="402">
        <f t="shared" ref="G120:G122" si="2">ROUND(D120*F120,2)</f>
        <v>0</v>
      </c>
    </row>
    <row r="121" spans="1:7" s="160" customFormat="1" ht="46.5" customHeight="1" thickBot="1" x14ac:dyDescent="0.4">
      <c r="A121" s="398"/>
      <c r="B121" s="399"/>
      <c r="C121" s="400"/>
      <c r="D121" s="409"/>
      <c r="E121" s="401"/>
      <c r="F121" s="411"/>
      <c r="G121" s="433"/>
    </row>
    <row r="122" spans="1:7" s="160" customFormat="1" ht="24" thickBot="1" x14ac:dyDescent="0.4">
      <c r="A122" s="398"/>
      <c r="B122" s="399"/>
      <c r="C122" s="400"/>
      <c r="D122" s="409"/>
      <c r="E122" s="401"/>
      <c r="F122" s="411"/>
      <c r="G122" s="402">
        <f t="shared" si="2"/>
        <v>0</v>
      </c>
    </row>
    <row r="123" spans="1:7" s="160" customFormat="1" ht="70.5" thickBot="1" x14ac:dyDescent="0.4">
      <c r="A123" s="398"/>
      <c r="B123" s="399"/>
      <c r="C123" s="400" t="s">
        <v>939</v>
      </c>
      <c r="D123" s="409">
        <v>1</v>
      </c>
      <c r="E123" s="401" t="s">
        <v>756</v>
      </c>
      <c r="F123" s="411"/>
      <c r="G123" s="433">
        <f>D123*F123</f>
        <v>0</v>
      </c>
    </row>
    <row r="124" spans="1:7" s="160" customFormat="1" x14ac:dyDescent="0.35">
      <c r="A124" s="398"/>
      <c r="B124" s="399"/>
      <c r="C124" s="400"/>
      <c r="D124" s="409"/>
      <c r="E124" s="401"/>
      <c r="F124" s="411"/>
      <c r="G124" s="402">
        <f t="shared" si="1"/>
        <v>0</v>
      </c>
    </row>
    <row r="125" spans="1:7" s="160" customFormat="1" x14ac:dyDescent="0.35">
      <c r="A125" s="398"/>
      <c r="B125" s="399"/>
      <c r="C125" s="400"/>
      <c r="D125" s="409"/>
      <c r="E125" s="401"/>
      <c r="F125" s="411"/>
      <c r="G125" s="402">
        <f t="shared" si="1"/>
        <v>0</v>
      </c>
    </row>
    <row r="126" spans="1:7" s="160" customFormat="1" x14ac:dyDescent="0.35">
      <c r="A126" s="398"/>
      <c r="B126" s="399"/>
      <c r="C126" s="400"/>
      <c r="D126" s="409"/>
      <c r="E126" s="401"/>
      <c r="F126" s="411"/>
      <c r="G126" s="402">
        <f t="shared" si="1"/>
        <v>0</v>
      </c>
    </row>
    <row r="127" spans="1:7" s="160" customFormat="1" ht="24" thickBot="1" x14ac:dyDescent="0.4">
      <c r="A127" s="398"/>
      <c r="B127" s="399"/>
      <c r="C127" s="400"/>
      <c r="D127" s="409"/>
      <c r="E127" s="401"/>
      <c r="F127" s="411"/>
      <c r="G127" s="402">
        <f t="shared" si="1"/>
        <v>0</v>
      </c>
    </row>
    <row r="128" spans="1:7" s="160" customFormat="1" ht="24" thickBot="1" x14ac:dyDescent="0.4">
      <c r="A128" s="398"/>
      <c r="B128" s="399"/>
      <c r="C128" s="404" t="s">
        <v>760</v>
      </c>
      <c r="D128" s="409"/>
      <c r="E128" s="401"/>
      <c r="F128" s="411"/>
      <c r="G128" s="405">
        <f>SUM(G108:G127)</f>
        <v>0</v>
      </c>
    </row>
    <row r="129" spans="1:7" s="160" customFormat="1" x14ac:dyDescent="0.35">
      <c r="A129" s="398"/>
      <c r="B129" s="399"/>
      <c r="C129" s="400"/>
      <c r="D129" s="409"/>
      <c r="E129" s="401"/>
      <c r="F129" s="411"/>
      <c r="G129" s="402">
        <f t="shared" si="1"/>
        <v>0</v>
      </c>
    </row>
    <row r="130" spans="1:7" s="160" customFormat="1" ht="24" thickBot="1" x14ac:dyDescent="0.4">
      <c r="A130" s="398"/>
      <c r="B130" s="399"/>
      <c r="C130" s="400"/>
      <c r="D130" s="409"/>
      <c r="E130" s="401"/>
      <c r="F130" s="411"/>
      <c r="G130" s="402">
        <f t="shared" si="1"/>
        <v>0</v>
      </c>
    </row>
    <row r="131" spans="1:7" x14ac:dyDescent="0.35">
      <c r="A131" s="383"/>
      <c r="B131" s="384"/>
      <c r="C131" s="385"/>
      <c r="D131" s="386"/>
      <c r="E131" s="387"/>
      <c r="F131" s="410"/>
      <c r="G131" s="387"/>
    </row>
    <row r="132" spans="1:7" s="160" customFormat="1" x14ac:dyDescent="0.35">
      <c r="A132" s="388"/>
      <c r="B132" s="389"/>
      <c r="C132" s="390"/>
      <c r="D132" s="391"/>
      <c r="E132" s="391"/>
      <c r="F132" s="393" t="s">
        <v>2</v>
      </c>
      <c r="G132" s="393"/>
    </row>
    <row r="133" spans="1:7" s="160" customFormat="1" ht="24" thickBot="1" x14ac:dyDescent="0.4">
      <c r="A133" s="394"/>
      <c r="B133" s="395"/>
      <c r="C133" s="396" t="s">
        <v>753</v>
      </c>
      <c r="D133" s="397" t="s">
        <v>3</v>
      </c>
      <c r="E133" s="397" t="s">
        <v>1</v>
      </c>
      <c r="F133" s="397" t="s">
        <v>4</v>
      </c>
      <c r="G133" s="397" t="s">
        <v>5</v>
      </c>
    </row>
    <row r="134" spans="1:7" s="160" customFormat="1" x14ac:dyDescent="0.35">
      <c r="A134" s="398"/>
      <c r="B134" s="399"/>
      <c r="C134" s="400"/>
      <c r="D134" s="409"/>
      <c r="E134" s="401"/>
      <c r="F134" s="411"/>
      <c r="G134" s="402">
        <f t="shared" ref="G134:G146" si="3">ROUND(D134*F134,2)</f>
        <v>0</v>
      </c>
    </row>
    <row r="135" spans="1:7" s="160" customFormat="1" ht="46.5" x14ac:dyDescent="0.35">
      <c r="A135" s="398"/>
      <c r="B135" s="399"/>
      <c r="C135" s="403" t="s">
        <v>784</v>
      </c>
      <c r="D135" s="409"/>
      <c r="E135" s="401"/>
      <c r="F135" s="411"/>
      <c r="G135" s="402">
        <f t="shared" si="3"/>
        <v>0</v>
      </c>
    </row>
    <row r="136" spans="1:7" s="160" customFormat="1" x14ac:dyDescent="0.35">
      <c r="A136" s="398"/>
      <c r="B136" s="399"/>
      <c r="C136" s="400"/>
      <c r="D136" s="409"/>
      <c r="E136" s="401"/>
      <c r="F136" s="411"/>
      <c r="G136" s="402">
        <f t="shared" si="3"/>
        <v>0</v>
      </c>
    </row>
    <row r="137" spans="1:7" s="160" customFormat="1" x14ac:dyDescent="0.35">
      <c r="A137" s="398"/>
      <c r="B137" s="399"/>
      <c r="C137" s="412" t="s">
        <v>790</v>
      </c>
      <c r="D137" s="409"/>
      <c r="E137" s="401"/>
      <c r="F137" s="411"/>
      <c r="G137" s="402">
        <f t="shared" si="3"/>
        <v>0</v>
      </c>
    </row>
    <row r="138" spans="1:7" s="160" customFormat="1" ht="24" thickBot="1" x14ac:dyDescent="0.4">
      <c r="A138" s="398"/>
      <c r="B138" s="399"/>
      <c r="C138" s="400"/>
      <c r="D138" s="409"/>
      <c r="E138" s="401"/>
      <c r="F138" s="411"/>
      <c r="G138" s="402">
        <f t="shared" si="3"/>
        <v>0</v>
      </c>
    </row>
    <row r="139" spans="1:7" s="160" customFormat="1" ht="117" thickBot="1" x14ac:dyDescent="0.4">
      <c r="A139" s="398"/>
      <c r="B139" s="399"/>
      <c r="C139" s="400" t="s">
        <v>940</v>
      </c>
      <c r="D139" s="446">
        <v>1</v>
      </c>
      <c r="E139" s="401" t="s">
        <v>756</v>
      </c>
      <c r="F139" s="411"/>
      <c r="G139" s="433">
        <f>D139*F139</f>
        <v>0</v>
      </c>
    </row>
    <row r="140" spans="1:7" s="160" customFormat="1" ht="24" thickBot="1" x14ac:dyDescent="0.4">
      <c r="A140" s="398"/>
      <c r="B140" s="399"/>
      <c r="C140" s="400"/>
      <c r="D140" s="409"/>
      <c r="E140" s="401"/>
      <c r="F140" s="411"/>
      <c r="G140" s="402"/>
    </row>
    <row r="141" spans="1:7" s="160" customFormat="1" ht="70.5" thickBot="1" x14ac:dyDescent="0.4">
      <c r="A141" s="398"/>
      <c r="B141" s="399"/>
      <c r="C141" s="400" t="s">
        <v>941</v>
      </c>
      <c r="D141" s="409">
        <v>1</v>
      </c>
      <c r="E141" s="401" t="s">
        <v>756</v>
      </c>
      <c r="F141" s="411"/>
      <c r="G141" s="433">
        <f>D141*F141</f>
        <v>0</v>
      </c>
    </row>
    <row r="142" spans="1:7" s="160" customFormat="1" x14ac:dyDescent="0.35">
      <c r="A142" s="398"/>
      <c r="B142" s="399"/>
      <c r="C142" s="400"/>
      <c r="D142" s="409"/>
      <c r="E142" s="401"/>
      <c r="F142" s="411"/>
      <c r="G142" s="402"/>
    </row>
    <row r="143" spans="1:7" s="160" customFormat="1" ht="116.25" x14ac:dyDescent="0.35">
      <c r="A143" s="398"/>
      <c r="B143" s="399"/>
      <c r="C143" s="400" t="s">
        <v>795</v>
      </c>
      <c r="D143" s="409">
        <v>434</v>
      </c>
      <c r="E143" s="401" t="s">
        <v>772</v>
      </c>
      <c r="F143" s="411"/>
      <c r="G143" s="402">
        <f>D143*F143</f>
        <v>0</v>
      </c>
    </row>
    <row r="144" spans="1:7" s="160" customFormat="1" x14ac:dyDescent="0.35">
      <c r="A144" s="398"/>
      <c r="B144" s="399"/>
      <c r="C144" s="400"/>
      <c r="D144" s="409"/>
      <c r="E144" s="401"/>
      <c r="F144" s="411"/>
      <c r="G144" s="402">
        <f t="shared" si="3"/>
        <v>0</v>
      </c>
    </row>
    <row r="145" spans="1:7" s="160" customFormat="1" ht="69.75" x14ac:dyDescent="0.35">
      <c r="A145" s="398"/>
      <c r="B145" s="399"/>
      <c r="C145" s="400" t="s">
        <v>796</v>
      </c>
      <c r="D145" s="409">
        <v>31</v>
      </c>
      <c r="E145" s="401" t="s">
        <v>26</v>
      </c>
      <c r="F145" s="411"/>
      <c r="G145" s="402">
        <f>D145*F145</f>
        <v>0</v>
      </c>
    </row>
    <row r="146" spans="1:7" s="160" customFormat="1" x14ac:dyDescent="0.35">
      <c r="A146" s="398"/>
      <c r="B146" s="399"/>
      <c r="C146" s="400"/>
      <c r="D146" s="409"/>
      <c r="E146" s="401"/>
      <c r="F146" s="411"/>
      <c r="G146" s="402">
        <f t="shared" si="3"/>
        <v>0</v>
      </c>
    </row>
    <row r="147" spans="1:7" s="160" customFormat="1" ht="116.25" x14ac:dyDescent="0.35">
      <c r="A147" s="398"/>
      <c r="B147" s="399"/>
      <c r="C147" s="400" t="s">
        <v>797</v>
      </c>
      <c r="D147" s="409">
        <v>94</v>
      </c>
      <c r="E147" s="401" t="s">
        <v>26</v>
      </c>
      <c r="F147" s="411"/>
      <c r="G147" s="402">
        <f>D147*F147</f>
        <v>0</v>
      </c>
    </row>
    <row r="148" spans="1:7" s="160" customFormat="1" x14ac:dyDescent="0.35">
      <c r="A148" s="398"/>
      <c r="B148" s="399"/>
      <c r="C148" s="400"/>
      <c r="D148" s="409"/>
      <c r="E148" s="401"/>
      <c r="F148" s="411"/>
      <c r="G148" s="402">
        <f t="shared" ref="G148:G157" si="4">ROUND(D148*F148,2)</f>
        <v>0</v>
      </c>
    </row>
    <row r="149" spans="1:7" s="160" customFormat="1" x14ac:dyDescent="0.35">
      <c r="A149" s="398"/>
      <c r="B149" s="399"/>
      <c r="C149" s="400"/>
      <c r="D149" s="409"/>
      <c r="E149" s="401"/>
      <c r="F149" s="411"/>
      <c r="G149" s="402">
        <f t="shared" si="4"/>
        <v>0</v>
      </c>
    </row>
    <row r="150" spans="1:7" s="160" customFormat="1" x14ac:dyDescent="0.35">
      <c r="A150" s="398"/>
      <c r="B150" s="399"/>
      <c r="C150" s="400"/>
      <c r="D150" s="409"/>
      <c r="E150" s="401"/>
      <c r="F150" s="411"/>
      <c r="G150" s="402">
        <f t="shared" si="4"/>
        <v>0</v>
      </c>
    </row>
    <row r="151" spans="1:7" s="160" customFormat="1" x14ac:dyDescent="0.35">
      <c r="A151" s="398"/>
      <c r="B151" s="399"/>
      <c r="C151" s="400"/>
      <c r="D151" s="409"/>
      <c r="E151" s="401"/>
      <c r="F151" s="411"/>
      <c r="G151" s="402">
        <f t="shared" si="4"/>
        <v>0</v>
      </c>
    </row>
    <row r="152" spans="1:7" s="160" customFormat="1" x14ac:dyDescent="0.35">
      <c r="A152" s="398"/>
      <c r="B152" s="399"/>
      <c r="C152" s="400"/>
      <c r="D152" s="409"/>
      <c r="E152" s="401"/>
      <c r="F152" s="411"/>
      <c r="G152" s="402">
        <f t="shared" si="4"/>
        <v>0</v>
      </c>
    </row>
    <row r="153" spans="1:7" s="160" customFormat="1" x14ac:dyDescent="0.35">
      <c r="A153" s="398"/>
      <c r="B153" s="399"/>
      <c r="C153" s="400"/>
      <c r="D153" s="409"/>
      <c r="E153" s="401"/>
      <c r="F153" s="411"/>
      <c r="G153" s="402">
        <f t="shared" si="4"/>
        <v>0</v>
      </c>
    </row>
    <row r="154" spans="1:7" s="160" customFormat="1" ht="24" thickBot="1" x14ac:dyDescent="0.4">
      <c r="A154" s="398"/>
      <c r="B154" s="399"/>
      <c r="C154" s="400"/>
      <c r="D154" s="409"/>
      <c r="E154" s="401"/>
      <c r="F154" s="411"/>
      <c r="G154" s="402">
        <f t="shared" si="4"/>
        <v>0</v>
      </c>
    </row>
    <row r="155" spans="1:7" s="160" customFormat="1" ht="24" thickBot="1" x14ac:dyDescent="0.4">
      <c r="A155" s="398"/>
      <c r="B155" s="399"/>
      <c r="C155" s="404" t="s">
        <v>760</v>
      </c>
      <c r="D155" s="409"/>
      <c r="E155" s="401"/>
      <c r="F155" s="411"/>
      <c r="G155" s="405">
        <f>SUM(G135:G154)</f>
        <v>0</v>
      </c>
    </row>
    <row r="156" spans="1:7" s="160" customFormat="1" x14ac:dyDescent="0.35">
      <c r="A156" s="398"/>
      <c r="B156" s="399"/>
      <c r="C156" s="400"/>
      <c r="D156" s="409"/>
      <c r="E156" s="401"/>
      <c r="F156" s="411"/>
      <c r="G156" s="402">
        <f t="shared" si="4"/>
        <v>0</v>
      </c>
    </row>
    <row r="157" spans="1:7" s="160" customFormat="1" ht="24" thickBot="1" x14ac:dyDescent="0.4">
      <c r="A157" s="398"/>
      <c r="B157" s="399"/>
      <c r="C157" s="400"/>
      <c r="D157" s="409"/>
      <c r="E157" s="401"/>
      <c r="F157" s="411"/>
      <c r="G157" s="402">
        <f t="shared" si="4"/>
        <v>0</v>
      </c>
    </row>
    <row r="158" spans="1:7" x14ac:dyDescent="0.35">
      <c r="A158" s="383"/>
      <c r="B158" s="384"/>
      <c r="C158" s="385"/>
      <c r="D158" s="386"/>
      <c r="E158" s="387"/>
      <c r="F158" s="410"/>
      <c r="G158" s="387"/>
    </row>
    <row r="159" spans="1:7" s="160" customFormat="1" x14ac:dyDescent="0.35">
      <c r="A159" s="388"/>
      <c r="B159" s="389"/>
      <c r="C159" s="390"/>
      <c r="D159" s="391"/>
      <c r="E159" s="391"/>
      <c r="F159" s="393" t="s">
        <v>2</v>
      </c>
      <c r="G159" s="393"/>
    </row>
    <row r="160" spans="1:7" s="160" customFormat="1" ht="24" thickBot="1" x14ac:dyDescent="0.4">
      <c r="A160" s="394"/>
      <c r="B160" s="395"/>
      <c r="C160" s="396" t="s">
        <v>753</v>
      </c>
      <c r="D160" s="397" t="s">
        <v>3</v>
      </c>
      <c r="E160" s="397" t="s">
        <v>1</v>
      </c>
      <c r="F160" s="397" t="s">
        <v>4</v>
      </c>
      <c r="G160" s="397" t="s">
        <v>5</v>
      </c>
    </row>
    <row r="161" spans="1:7" s="160" customFormat="1" x14ac:dyDescent="0.35">
      <c r="A161" s="398"/>
      <c r="B161" s="399"/>
      <c r="C161" s="400"/>
      <c r="D161" s="409"/>
      <c r="E161" s="401"/>
      <c r="F161" s="411"/>
      <c r="G161" s="402">
        <f t="shared" ref="G161:G163" si="5">ROUND(D161*F161,2)</f>
        <v>0</v>
      </c>
    </row>
    <row r="162" spans="1:7" s="160" customFormat="1" ht="46.5" x14ac:dyDescent="0.35">
      <c r="A162" s="398"/>
      <c r="B162" s="399"/>
      <c r="C162" s="403" t="s">
        <v>792</v>
      </c>
      <c r="D162" s="409"/>
      <c r="E162" s="401"/>
      <c r="F162" s="411"/>
      <c r="G162" s="402">
        <f t="shared" si="5"/>
        <v>0</v>
      </c>
    </row>
    <row r="163" spans="1:7" s="160" customFormat="1" x14ac:dyDescent="0.35">
      <c r="A163" s="398"/>
      <c r="B163" s="399"/>
      <c r="C163" s="400"/>
      <c r="D163" s="409"/>
      <c r="E163" s="401"/>
      <c r="F163" s="411"/>
      <c r="G163" s="402">
        <f t="shared" si="5"/>
        <v>0</v>
      </c>
    </row>
    <row r="164" spans="1:7" s="160" customFormat="1" ht="232.5" x14ac:dyDescent="0.35">
      <c r="A164" s="398"/>
      <c r="B164" s="399"/>
      <c r="C164" s="400" t="s">
        <v>891</v>
      </c>
      <c r="D164" s="409">
        <v>58</v>
      </c>
      <c r="E164" s="401" t="s">
        <v>772</v>
      </c>
      <c r="F164" s="411"/>
      <c r="G164" s="402">
        <f>D164*F164</f>
        <v>0</v>
      </c>
    </row>
    <row r="165" spans="1:7" s="160" customFormat="1" x14ac:dyDescent="0.35">
      <c r="A165" s="398"/>
      <c r="B165" s="399"/>
      <c r="C165" s="400"/>
      <c r="D165" s="409"/>
      <c r="E165" s="401"/>
      <c r="F165" s="411"/>
      <c r="G165" s="402">
        <f t="shared" ref="G165:G214" si="6">ROUND(D165*F165,2)</f>
        <v>0</v>
      </c>
    </row>
    <row r="166" spans="1:7" s="160" customFormat="1" ht="232.5" x14ac:dyDescent="0.35">
      <c r="A166" s="398"/>
      <c r="B166" s="399"/>
      <c r="C166" s="400" t="s">
        <v>793</v>
      </c>
      <c r="D166" s="409">
        <v>65</v>
      </c>
      <c r="E166" s="401" t="s">
        <v>468</v>
      </c>
      <c r="F166" s="411"/>
      <c r="G166" s="402">
        <f>D166*F166</f>
        <v>0</v>
      </c>
    </row>
    <row r="167" spans="1:7" s="160" customFormat="1" x14ac:dyDescent="0.35">
      <c r="A167" s="398"/>
      <c r="B167" s="399"/>
      <c r="C167" s="400"/>
      <c r="D167" s="409"/>
      <c r="E167" s="401"/>
      <c r="F167" s="411"/>
      <c r="G167" s="402">
        <f t="shared" si="6"/>
        <v>0</v>
      </c>
    </row>
    <row r="168" spans="1:7" s="160" customFormat="1" ht="63.75" customHeight="1" x14ac:dyDescent="0.35">
      <c r="A168" s="398"/>
      <c r="B168" s="399"/>
      <c r="C168" s="413"/>
      <c r="D168" s="409"/>
      <c r="E168" s="401"/>
      <c r="F168" s="411"/>
      <c r="G168" s="402"/>
    </row>
    <row r="169" spans="1:7" s="160" customFormat="1" ht="87" customHeight="1" x14ac:dyDescent="0.35">
      <c r="A169" s="398"/>
      <c r="B169" s="399"/>
      <c r="C169" s="400"/>
      <c r="D169" s="409"/>
      <c r="E169" s="401"/>
      <c r="F169" s="411"/>
      <c r="G169" s="402"/>
    </row>
    <row r="170" spans="1:7" s="160" customFormat="1" ht="69.75" customHeight="1" x14ac:dyDescent="0.35">
      <c r="A170" s="398"/>
      <c r="B170" s="399"/>
      <c r="C170" s="400"/>
      <c r="D170" s="409"/>
      <c r="E170" s="401"/>
      <c r="F170" s="411"/>
      <c r="G170" s="402"/>
    </row>
    <row r="171" spans="1:7" s="160" customFormat="1" ht="95.25" customHeight="1" x14ac:dyDescent="0.35">
      <c r="A171" s="398"/>
      <c r="B171" s="399"/>
      <c r="C171" s="400"/>
      <c r="D171" s="409"/>
      <c r="E171" s="401"/>
      <c r="F171" s="411"/>
      <c r="G171" s="402"/>
    </row>
    <row r="172" spans="1:7" s="160" customFormat="1" x14ac:dyDescent="0.35">
      <c r="A172" s="398"/>
      <c r="B172" s="399"/>
      <c r="C172" s="400"/>
      <c r="D172" s="409"/>
      <c r="E172" s="401"/>
      <c r="F172" s="411"/>
      <c r="G172" s="402"/>
    </row>
    <row r="173" spans="1:7" s="160" customFormat="1" x14ac:dyDescent="0.35">
      <c r="A173" s="398"/>
      <c r="B173" s="399"/>
      <c r="C173" s="400"/>
      <c r="D173" s="409"/>
      <c r="E173" s="401"/>
      <c r="F173" s="411"/>
      <c r="G173" s="402">
        <f t="shared" si="6"/>
        <v>0</v>
      </c>
    </row>
    <row r="174" spans="1:7" s="160" customFormat="1" ht="69.75" x14ac:dyDescent="0.35">
      <c r="A174" s="398"/>
      <c r="B174" s="399"/>
      <c r="C174" s="400" t="s">
        <v>794</v>
      </c>
      <c r="D174" s="409">
        <v>1</v>
      </c>
      <c r="E174" s="401" t="s">
        <v>756</v>
      </c>
      <c r="F174" s="411"/>
      <c r="G174" s="402">
        <f>D174*F174</f>
        <v>0</v>
      </c>
    </row>
    <row r="175" spans="1:7" s="160" customFormat="1" ht="24" thickBot="1" x14ac:dyDescent="0.4">
      <c r="A175" s="398"/>
      <c r="B175" s="399"/>
      <c r="C175" s="400"/>
      <c r="D175" s="409"/>
      <c r="E175" s="401"/>
      <c r="F175" s="411"/>
      <c r="G175" s="402">
        <f t="shared" si="6"/>
        <v>0</v>
      </c>
    </row>
    <row r="176" spans="1:7" s="160" customFormat="1" ht="24" thickBot="1" x14ac:dyDescent="0.4">
      <c r="A176" s="398"/>
      <c r="B176" s="399"/>
      <c r="C176" s="404" t="s">
        <v>760</v>
      </c>
      <c r="D176" s="409"/>
      <c r="E176" s="401"/>
      <c r="F176" s="411"/>
      <c r="G176" s="405">
        <f>SUM(G163:G175)</f>
        <v>0</v>
      </c>
    </row>
    <row r="177" spans="1:7" s="160" customFormat="1" x14ac:dyDescent="0.35">
      <c r="A177" s="398"/>
      <c r="B177" s="399"/>
      <c r="C177" s="400"/>
      <c r="D177" s="409"/>
      <c r="E177" s="401"/>
      <c r="F177" s="411"/>
      <c r="G177" s="402">
        <f t="shared" si="6"/>
        <v>0</v>
      </c>
    </row>
    <row r="178" spans="1:7" s="160" customFormat="1" ht="24" thickBot="1" x14ac:dyDescent="0.4">
      <c r="A178" s="398"/>
      <c r="B178" s="399"/>
      <c r="C178" s="400"/>
      <c r="D178" s="409"/>
      <c r="E178" s="401"/>
      <c r="F178" s="411"/>
      <c r="G178" s="402">
        <f t="shared" si="6"/>
        <v>0</v>
      </c>
    </row>
    <row r="179" spans="1:7" ht="18" customHeight="1" x14ac:dyDescent="0.35">
      <c r="A179" s="383"/>
      <c r="B179" s="384"/>
      <c r="C179" s="385"/>
      <c r="D179" s="386"/>
      <c r="E179" s="387"/>
      <c r="F179" s="410"/>
      <c r="G179" s="387"/>
    </row>
    <row r="180" spans="1:7" s="160" customFormat="1" x14ac:dyDescent="0.35">
      <c r="A180" s="388"/>
      <c r="B180" s="389"/>
      <c r="C180" s="390"/>
      <c r="D180" s="391"/>
      <c r="E180" s="391"/>
      <c r="F180" s="393" t="s">
        <v>2</v>
      </c>
      <c r="G180" s="393"/>
    </row>
    <row r="181" spans="1:7" s="160" customFormat="1" ht="24" thickBot="1" x14ac:dyDescent="0.4">
      <c r="A181" s="394"/>
      <c r="B181" s="395"/>
      <c r="C181" s="396" t="s">
        <v>753</v>
      </c>
      <c r="D181" s="397" t="s">
        <v>3</v>
      </c>
      <c r="E181" s="397" t="s">
        <v>1</v>
      </c>
      <c r="F181" s="397" t="s">
        <v>4</v>
      </c>
      <c r="G181" s="397" t="s">
        <v>5</v>
      </c>
    </row>
    <row r="182" spans="1:7" s="160" customFormat="1" ht="18" customHeight="1" x14ac:dyDescent="0.35">
      <c r="A182" s="398"/>
      <c r="B182" s="399"/>
      <c r="C182" s="400"/>
      <c r="D182" s="409"/>
      <c r="E182" s="401"/>
      <c r="F182" s="411"/>
      <c r="G182" s="402">
        <f t="shared" si="6"/>
        <v>0</v>
      </c>
    </row>
    <row r="183" spans="1:7" s="160" customFormat="1" x14ac:dyDescent="0.35">
      <c r="A183" s="398"/>
      <c r="B183" s="399"/>
      <c r="C183" s="412" t="s">
        <v>798</v>
      </c>
      <c r="D183" s="409"/>
      <c r="E183" s="401"/>
      <c r="F183" s="411"/>
      <c r="G183" s="402">
        <f t="shared" si="6"/>
        <v>0</v>
      </c>
    </row>
    <row r="184" spans="1:7" s="160" customFormat="1" ht="16.5" customHeight="1" x14ac:dyDescent="0.35">
      <c r="A184" s="398"/>
      <c r="B184" s="399"/>
      <c r="C184" s="400"/>
      <c r="D184" s="409"/>
      <c r="E184" s="401"/>
      <c r="F184" s="411"/>
      <c r="G184" s="402">
        <f t="shared" si="6"/>
        <v>0</v>
      </c>
    </row>
    <row r="185" spans="1:7" s="160" customFormat="1" ht="93" x14ac:dyDescent="0.35">
      <c r="A185" s="398"/>
      <c r="B185" s="399"/>
      <c r="C185" s="400" t="s">
        <v>800</v>
      </c>
      <c r="D185" s="409">
        <v>1</v>
      </c>
      <c r="E185" s="401" t="s">
        <v>756</v>
      </c>
      <c r="F185" s="411"/>
      <c r="G185" s="402">
        <f>D185*F185</f>
        <v>0</v>
      </c>
    </row>
    <row r="186" spans="1:7" s="160" customFormat="1" ht="15.75" customHeight="1" x14ac:dyDescent="0.35">
      <c r="A186" s="398"/>
      <c r="B186" s="399"/>
      <c r="C186" s="400"/>
      <c r="D186" s="409"/>
      <c r="E186" s="401"/>
      <c r="F186" s="411"/>
      <c r="G186" s="402">
        <f t="shared" si="6"/>
        <v>0</v>
      </c>
    </row>
    <row r="187" spans="1:7" s="160" customFormat="1" ht="93" x14ac:dyDescent="0.35">
      <c r="A187" s="398"/>
      <c r="B187" s="399"/>
      <c r="C187" s="435" t="s">
        <v>956</v>
      </c>
      <c r="D187" s="442">
        <v>1</v>
      </c>
      <c r="E187" s="440" t="s">
        <v>756</v>
      </c>
      <c r="F187" s="438"/>
      <c r="G187" s="439">
        <f>D187*F187</f>
        <v>0</v>
      </c>
    </row>
    <row r="188" spans="1:7" s="160" customFormat="1" ht="18.75" customHeight="1" x14ac:dyDescent="0.35">
      <c r="A188" s="398"/>
      <c r="B188" s="399"/>
      <c r="C188" s="400"/>
      <c r="D188" s="409"/>
      <c r="E188" s="401"/>
      <c r="F188" s="411"/>
      <c r="G188" s="402">
        <f t="shared" si="6"/>
        <v>0</v>
      </c>
    </row>
    <row r="189" spans="1:7" s="160" customFormat="1" ht="93" x14ac:dyDescent="0.35">
      <c r="A189" s="398"/>
      <c r="B189" s="399"/>
      <c r="C189" s="400" t="s">
        <v>801</v>
      </c>
      <c r="D189" s="446">
        <v>1</v>
      </c>
      <c r="E189" s="401" t="s">
        <v>756</v>
      </c>
      <c r="F189" s="411"/>
      <c r="G189" s="402">
        <f>D189*F189</f>
        <v>0</v>
      </c>
    </row>
    <row r="190" spans="1:7" s="160" customFormat="1" ht="16.5" customHeight="1" x14ac:dyDescent="0.35">
      <c r="A190" s="398"/>
      <c r="B190" s="399"/>
      <c r="C190" s="400"/>
      <c r="D190" s="409"/>
      <c r="E190" s="401"/>
      <c r="F190" s="411"/>
      <c r="G190" s="402">
        <f t="shared" si="6"/>
        <v>0</v>
      </c>
    </row>
    <row r="191" spans="1:7" s="160" customFormat="1" ht="93" x14ac:dyDescent="0.35">
      <c r="A191" s="398"/>
      <c r="B191" s="399"/>
      <c r="C191" s="400" t="s">
        <v>802</v>
      </c>
      <c r="D191" s="446">
        <v>1</v>
      </c>
      <c r="E191" s="401" t="s">
        <v>756</v>
      </c>
      <c r="F191" s="411"/>
      <c r="G191" s="402">
        <f>D191*F191</f>
        <v>0</v>
      </c>
    </row>
    <row r="192" spans="1:7" s="160" customFormat="1" ht="16.5" customHeight="1" x14ac:dyDescent="0.35">
      <c r="A192" s="398"/>
      <c r="B192" s="399"/>
      <c r="C192" s="400"/>
      <c r="D192" s="409"/>
      <c r="E192" s="401"/>
      <c r="F192" s="411"/>
      <c r="G192" s="402">
        <f t="shared" si="6"/>
        <v>0</v>
      </c>
    </row>
    <row r="193" spans="1:7" s="160" customFormat="1" ht="69.75" x14ac:dyDescent="0.35">
      <c r="A193" s="398"/>
      <c r="B193" s="399"/>
      <c r="C193" s="400" t="s">
        <v>817</v>
      </c>
      <c r="D193" s="409">
        <v>6</v>
      </c>
      <c r="E193" s="401" t="s">
        <v>761</v>
      </c>
      <c r="F193" s="411"/>
      <c r="G193" s="402">
        <f>D193*F193</f>
        <v>0</v>
      </c>
    </row>
    <row r="194" spans="1:7" s="160" customFormat="1" ht="18" customHeight="1" x14ac:dyDescent="0.35">
      <c r="A194" s="398"/>
      <c r="B194" s="399"/>
      <c r="C194" s="400"/>
      <c r="D194" s="409"/>
      <c r="E194" s="401"/>
      <c r="F194" s="411"/>
      <c r="G194" s="402">
        <f t="shared" si="6"/>
        <v>0</v>
      </c>
    </row>
    <row r="195" spans="1:7" s="160" customFormat="1" ht="93" x14ac:dyDescent="0.35">
      <c r="A195" s="398"/>
      <c r="B195" s="399"/>
      <c r="C195" s="400" t="s">
        <v>892</v>
      </c>
      <c r="D195" s="409">
        <v>35</v>
      </c>
      <c r="E195" s="401" t="s">
        <v>468</v>
      </c>
      <c r="F195" s="411"/>
      <c r="G195" s="402">
        <f>D195*F195</f>
        <v>0</v>
      </c>
    </row>
    <row r="196" spans="1:7" s="160" customFormat="1" ht="19.5" customHeight="1" x14ac:dyDescent="0.35">
      <c r="A196" s="398"/>
      <c r="B196" s="399"/>
      <c r="C196" s="400"/>
      <c r="D196" s="409"/>
      <c r="E196" s="401"/>
      <c r="F196" s="411"/>
      <c r="G196" s="402">
        <f t="shared" si="6"/>
        <v>0</v>
      </c>
    </row>
    <row r="197" spans="1:7" s="160" customFormat="1" ht="69.75" x14ac:dyDescent="0.35">
      <c r="A197" s="398"/>
      <c r="B197" s="399"/>
      <c r="C197" s="400" t="s">
        <v>840</v>
      </c>
      <c r="D197" s="409">
        <v>340</v>
      </c>
      <c r="E197" s="401" t="s">
        <v>772</v>
      </c>
      <c r="F197" s="411"/>
      <c r="G197" s="402">
        <f>D197*F197</f>
        <v>0</v>
      </c>
    </row>
    <row r="198" spans="1:7" s="160" customFormat="1" ht="19.5" customHeight="1" x14ac:dyDescent="0.35">
      <c r="A198" s="398"/>
      <c r="B198" s="399"/>
      <c r="C198" s="400"/>
      <c r="D198" s="409"/>
      <c r="E198" s="401"/>
      <c r="F198" s="411"/>
      <c r="G198" s="402">
        <f t="shared" si="6"/>
        <v>0</v>
      </c>
    </row>
    <row r="199" spans="1:7" s="160" customFormat="1" ht="116.25" x14ac:dyDescent="0.35">
      <c r="A199" s="398"/>
      <c r="B199" s="399"/>
      <c r="C199" s="400" t="s">
        <v>839</v>
      </c>
      <c r="D199" s="409">
        <v>92</v>
      </c>
      <c r="E199" s="401" t="s">
        <v>772</v>
      </c>
      <c r="F199" s="411"/>
      <c r="G199" s="402">
        <f>D199*F199</f>
        <v>0</v>
      </c>
    </row>
    <row r="200" spans="1:7" s="160" customFormat="1" ht="18" customHeight="1" x14ac:dyDescent="0.35">
      <c r="A200" s="398"/>
      <c r="B200" s="399"/>
      <c r="C200" s="400"/>
      <c r="D200" s="409"/>
      <c r="E200" s="401"/>
      <c r="F200" s="411"/>
      <c r="G200" s="402">
        <f t="shared" si="6"/>
        <v>0</v>
      </c>
    </row>
    <row r="201" spans="1:7" s="160" customFormat="1" ht="139.5" x14ac:dyDescent="0.35">
      <c r="A201" s="398"/>
      <c r="B201" s="399"/>
      <c r="C201" s="400" t="s">
        <v>842</v>
      </c>
      <c r="D201" s="409">
        <v>6</v>
      </c>
      <c r="E201" s="401" t="s">
        <v>761</v>
      </c>
      <c r="F201" s="411"/>
      <c r="G201" s="402">
        <f>D201*F201</f>
        <v>0</v>
      </c>
    </row>
    <row r="202" spans="1:7" s="160" customFormat="1" ht="24" thickBot="1" x14ac:dyDescent="0.4">
      <c r="A202" s="398"/>
      <c r="B202" s="399"/>
      <c r="C202" s="400"/>
      <c r="D202" s="409"/>
      <c r="E202" s="401"/>
      <c r="F202" s="411"/>
      <c r="G202" s="402">
        <f t="shared" si="6"/>
        <v>0</v>
      </c>
    </row>
    <row r="203" spans="1:7" s="160" customFormat="1" ht="24" thickBot="1" x14ac:dyDescent="0.4">
      <c r="A203" s="398"/>
      <c r="B203" s="399"/>
      <c r="C203" s="404" t="s">
        <v>760</v>
      </c>
      <c r="D203" s="409"/>
      <c r="E203" s="401"/>
      <c r="F203" s="411"/>
      <c r="G203" s="405">
        <f>SUM(G184:G202)</f>
        <v>0</v>
      </c>
    </row>
    <row r="204" spans="1:7" s="160" customFormat="1" ht="24" thickBot="1" x14ac:dyDescent="0.4">
      <c r="A204" s="398"/>
      <c r="B204" s="399"/>
      <c r="C204" s="400"/>
      <c r="D204" s="409"/>
      <c r="E204" s="401"/>
      <c r="F204" s="411"/>
      <c r="G204" s="402">
        <f t="shared" si="6"/>
        <v>0</v>
      </c>
    </row>
    <row r="205" spans="1:7" ht="18.75" customHeight="1" x14ac:dyDescent="0.35">
      <c r="A205" s="383"/>
      <c r="B205" s="384"/>
      <c r="C205" s="385"/>
      <c r="D205" s="386"/>
      <c r="E205" s="387"/>
      <c r="F205" s="410"/>
      <c r="G205" s="387"/>
    </row>
    <row r="206" spans="1:7" s="160" customFormat="1" ht="18" customHeight="1" x14ac:dyDescent="0.35">
      <c r="A206" s="388"/>
      <c r="B206" s="389"/>
      <c r="C206" s="390"/>
      <c r="D206" s="391"/>
      <c r="E206" s="391"/>
      <c r="F206" s="393" t="s">
        <v>2</v>
      </c>
      <c r="G206" s="393"/>
    </row>
    <row r="207" spans="1:7" s="160" customFormat="1" ht="24" thickBot="1" x14ac:dyDescent="0.4">
      <c r="A207" s="394"/>
      <c r="B207" s="395"/>
      <c r="C207" s="396" t="s">
        <v>753</v>
      </c>
      <c r="D207" s="397" t="s">
        <v>3</v>
      </c>
      <c r="E207" s="397" t="s">
        <v>1</v>
      </c>
      <c r="F207" s="397" t="s">
        <v>4</v>
      </c>
      <c r="G207" s="397" t="s">
        <v>5</v>
      </c>
    </row>
    <row r="208" spans="1:7" s="160" customFormat="1" x14ac:dyDescent="0.35">
      <c r="A208" s="398"/>
      <c r="B208" s="399"/>
      <c r="C208" s="400"/>
      <c r="D208" s="409"/>
      <c r="E208" s="401"/>
      <c r="F208" s="411"/>
      <c r="G208" s="402">
        <f t="shared" ref="G208" si="7">ROUND(D208*F208,2)</f>
        <v>0</v>
      </c>
    </row>
    <row r="209" spans="1:7" s="160" customFormat="1" x14ac:dyDescent="0.35">
      <c r="A209" s="398"/>
      <c r="B209" s="399"/>
      <c r="C209" s="412" t="s">
        <v>803</v>
      </c>
      <c r="D209" s="409"/>
      <c r="E209" s="401"/>
      <c r="F209" s="411"/>
      <c r="G209" s="402">
        <f t="shared" si="6"/>
        <v>0</v>
      </c>
    </row>
    <row r="210" spans="1:7" s="160" customFormat="1" ht="17.25" customHeight="1" x14ac:dyDescent="0.35">
      <c r="A210" s="398"/>
      <c r="B210" s="399"/>
      <c r="C210" s="400"/>
      <c r="D210" s="409"/>
      <c r="E210" s="401"/>
      <c r="F210" s="411"/>
      <c r="G210" s="402">
        <f t="shared" si="6"/>
        <v>0</v>
      </c>
    </row>
    <row r="211" spans="1:7" s="160" customFormat="1" ht="69.75" x14ac:dyDescent="0.35">
      <c r="A211" s="398"/>
      <c r="B211" s="399"/>
      <c r="C211" s="400" t="s">
        <v>893</v>
      </c>
      <c r="D211" s="409">
        <v>54</v>
      </c>
      <c r="E211" s="401" t="s">
        <v>777</v>
      </c>
      <c r="F211" s="411"/>
      <c r="G211" s="402">
        <f>D211*F211</f>
        <v>0</v>
      </c>
    </row>
    <row r="212" spans="1:7" s="160" customFormat="1" ht="16.5" customHeight="1" x14ac:dyDescent="0.35">
      <c r="A212" s="398"/>
      <c r="B212" s="399"/>
      <c r="C212" s="400"/>
      <c r="D212" s="409"/>
      <c r="E212" s="401"/>
      <c r="F212" s="411"/>
      <c r="G212" s="402">
        <f t="shared" si="6"/>
        <v>0</v>
      </c>
    </row>
    <row r="213" spans="1:7" s="160" customFormat="1" ht="46.5" x14ac:dyDescent="0.35">
      <c r="A213" s="398"/>
      <c r="B213" s="399"/>
      <c r="C213" s="400" t="s">
        <v>804</v>
      </c>
      <c r="D213" s="409">
        <v>12</v>
      </c>
      <c r="E213" s="401" t="s">
        <v>777</v>
      </c>
      <c r="F213" s="411"/>
      <c r="G213" s="402">
        <f>D213*F213</f>
        <v>0</v>
      </c>
    </row>
    <row r="214" spans="1:7" s="160" customFormat="1" ht="15.75" customHeight="1" x14ac:dyDescent="0.35">
      <c r="A214" s="398"/>
      <c r="B214" s="399"/>
      <c r="C214" s="400"/>
      <c r="D214" s="409"/>
      <c r="E214" s="401"/>
      <c r="F214" s="411"/>
      <c r="G214" s="402">
        <f t="shared" si="6"/>
        <v>0</v>
      </c>
    </row>
    <row r="215" spans="1:7" s="160" customFormat="1" x14ac:dyDescent="0.35">
      <c r="A215" s="398"/>
      <c r="B215" s="399"/>
      <c r="C215" s="400" t="s">
        <v>805</v>
      </c>
      <c r="D215" s="409">
        <v>12</v>
      </c>
      <c r="E215" s="401" t="s">
        <v>777</v>
      </c>
      <c r="F215" s="411"/>
      <c r="G215" s="402">
        <f>D215*F215</f>
        <v>0</v>
      </c>
    </row>
    <row r="216" spans="1:7" s="160" customFormat="1" ht="14.25" customHeight="1" x14ac:dyDescent="0.35">
      <c r="A216" s="398"/>
      <c r="B216" s="399"/>
      <c r="C216" s="400"/>
      <c r="D216" s="409"/>
      <c r="E216" s="401"/>
      <c r="F216" s="411"/>
      <c r="G216" s="402">
        <f t="shared" ref="G216" si="8">ROUND(D216*F216,2)</f>
        <v>0</v>
      </c>
    </row>
    <row r="217" spans="1:7" s="160" customFormat="1" x14ac:dyDescent="0.35">
      <c r="A217" s="398"/>
      <c r="B217" s="399"/>
      <c r="C217" s="400" t="s">
        <v>806</v>
      </c>
      <c r="D217" s="409">
        <v>6</v>
      </c>
      <c r="E217" s="401" t="s">
        <v>777</v>
      </c>
      <c r="F217" s="411"/>
      <c r="G217" s="402">
        <f>D217*F217</f>
        <v>0</v>
      </c>
    </row>
    <row r="218" spans="1:7" s="160" customFormat="1" ht="14.25" customHeight="1" x14ac:dyDescent="0.35">
      <c r="A218" s="398"/>
      <c r="B218" s="399"/>
      <c r="C218" s="400"/>
      <c r="D218" s="409"/>
      <c r="E218" s="401"/>
      <c r="F218" s="411"/>
      <c r="G218" s="402">
        <f t="shared" ref="G218:G226" si="9">ROUND(D218*F218,2)</f>
        <v>0</v>
      </c>
    </row>
    <row r="219" spans="1:7" s="160" customFormat="1" x14ac:dyDescent="0.35">
      <c r="A219" s="398"/>
      <c r="B219" s="399"/>
      <c r="C219" s="400" t="s">
        <v>807</v>
      </c>
      <c r="D219" s="409">
        <v>12</v>
      </c>
      <c r="E219" s="401" t="s">
        <v>777</v>
      </c>
      <c r="F219" s="411"/>
      <c r="G219" s="402">
        <f>D219*F219</f>
        <v>0</v>
      </c>
    </row>
    <row r="220" spans="1:7" s="160" customFormat="1" ht="17.25" customHeight="1" x14ac:dyDescent="0.35">
      <c r="A220" s="398"/>
      <c r="B220" s="399"/>
      <c r="C220" s="400"/>
      <c r="D220" s="409"/>
      <c r="E220" s="401"/>
      <c r="F220" s="411"/>
      <c r="G220" s="402">
        <f t="shared" si="9"/>
        <v>0</v>
      </c>
    </row>
    <row r="221" spans="1:7" s="160" customFormat="1" ht="69.75" x14ac:dyDescent="0.35">
      <c r="A221" s="398"/>
      <c r="B221" s="399"/>
      <c r="C221" s="400" t="s">
        <v>816</v>
      </c>
      <c r="D221" s="409">
        <v>6</v>
      </c>
      <c r="E221" s="401" t="s">
        <v>777</v>
      </c>
      <c r="F221" s="411"/>
      <c r="G221" s="402">
        <f>D221*F221</f>
        <v>0</v>
      </c>
    </row>
    <row r="222" spans="1:7" s="160" customFormat="1" ht="17.25" customHeight="1" x14ac:dyDescent="0.35">
      <c r="A222" s="398"/>
      <c r="B222" s="399"/>
      <c r="C222" s="400"/>
      <c r="D222" s="409"/>
      <c r="E222" s="401"/>
      <c r="F222" s="411"/>
      <c r="G222" s="402">
        <f t="shared" si="9"/>
        <v>0</v>
      </c>
    </row>
    <row r="223" spans="1:7" s="160" customFormat="1" ht="69.75" x14ac:dyDescent="0.35">
      <c r="A223" s="398"/>
      <c r="B223" s="399"/>
      <c r="C223" s="400" t="s">
        <v>808</v>
      </c>
      <c r="D223" s="409">
        <v>6</v>
      </c>
      <c r="E223" s="401" t="s">
        <v>777</v>
      </c>
      <c r="F223" s="411"/>
      <c r="G223" s="402">
        <f>D223*F223</f>
        <v>0</v>
      </c>
    </row>
    <row r="224" spans="1:7" s="160" customFormat="1" ht="17.25" customHeight="1" x14ac:dyDescent="0.35">
      <c r="A224" s="398"/>
      <c r="B224" s="399"/>
      <c r="C224" s="400"/>
      <c r="D224" s="409"/>
      <c r="E224" s="401"/>
      <c r="F224" s="411"/>
      <c r="G224" s="402">
        <f t="shared" si="9"/>
        <v>0</v>
      </c>
    </row>
    <row r="225" spans="1:7" s="160" customFormat="1" ht="46.5" x14ac:dyDescent="0.35">
      <c r="A225" s="398"/>
      <c r="B225" s="399"/>
      <c r="C225" s="400" t="s">
        <v>809</v>
      </c>
      <c r="D225" s="409">
        <v>6</v>
      </c>
      <c r="E225" s="401" t="s">
        <v>810</v>
      </c>
      <c r="F225" s="411"/>
      <c r="G225" s="402">
        <f>D225*F225</f>
        <v>0</v>
      </c>
    </row>
    <row r="226" spans="1:7" s="160" customFormat="1" ht="16.5" customHeight="1" x14ac:dyDescent="0.35">
      <c r="A226" s="398"/>
      <c r="B226" s="399"/>
      <c r="C226" s="400"/>
      <c r="D226" s="409"/>
      <c r="E226" s="401"/>
      <c r="F226" s="411"/>
      <c r="G226" s="402">
        <f t="shared" si="9"/>
        <v>0</v>
      </c>
    </row>
    <row r="227" spans="1:7" ht="46.5" x14ac:dyDescent="0.35">
      <c r="C227" s="400" t="s">
        <v>812</v>
      </c>
      <c r="D227" s="409">
        <v>6</v>
      </c>
      <c r="E227" s="401" t="s">
        <v>777</v>
      </c>
      <c r="G227" s="402">
        <f>D227*F227</f>
        <v>0</v>
      </c>
    </row>
    <row r="228" spans="1:7" s="160" customFormat="1" ht="18" customHeight="1" x14ac:dyDescent="0.35">
      <c r="A228" s="398"/>
      <c r="B228" s="399"/>
      <c r="C228" s="400"/>
      <c r="D228" s="409"/>
      <c r="E228" s="401"/>
      <c r="F228" s="411"/>
      <c r="G228" s="402">
        <f t="shared" ref="G228" si="10">ROUND(D228*F228,2)</f>
        <v>0</v>
      </c>
    </row>
    <row r="229" spans="1:7" ht="46.5" x14ac:dyDescent="0.35">
      <c r="C229" s="400" t="s">
        <v>813</v>
      </c>
      <c r="D229" s="393">
        <v>12</v>
      </c>
      <c r="E229" s="401" t="s">
        <v>777</v>
      </c>
      <c r="G229" s="402">
        <f>D229*F229</f>
        <v>0</v>
      </c>
    </row>
    <row r="230" spans="1:7" s="160" customFormat="1" ht="18" customHeight="1" x14ac:dyDescent="0.35">
      <c r="A230" s="398"/>
      <c r="B230" s="399"/>
      <c r="C230" s="400"/>
      <c r="D230" s="409"/>
      <c r="E230" s="401"/>
      <c r="F230" s="411"/>
      <c r="G230" s="402">
        <f t="shared" ref="G230" si="11">ROUND(D230*F230,2)</f>
        <v>0</v>
      </c>
    </row>
    <row r="231" spans="1:7" ht="46.5" x14ac:dyDescent="0.35">
      <c r="C231" s="400" t="s">
        <v>811</v>
      </c>
      <c r="D231" s="393">
        <v>12</v>
      </c>
      <c r="E231" s="401" t="s">
        <v>777</v>
      </c>
      <c r="G231" s="402">
        <f>D231*F231</f>
        <v>0</v>
      </c>
    </row>
    <row r="232" spans="1:7" s="160" customFormat="1" x14ac:dyDescent="0.35">
      <c r="A232" s="398"/>
      <c r="B232" s="399"/>
      <c r="C232" s="400"/>
      <c r="D232" s="409"/>
      <c r="E232" s="401"/>
      <c r="F232" s="411"/>
      <c r="G232" s="402">
        <f t="shared" ref="G232" si="12">ROUND(D232*F232,2)</f>
        <v>0</v>
      </c>
    </row>
    <row r="233" spans="1:7" ht="46.5" x14ac:dyDescent="0.35">
      <c r="C233" s="400" t="s">
        <v>814</v>
      </c>
      <c r="D233" s="393">
        <v>6</v>
      </c>
      <c r="E233" s="401" t="s">
        <v>777</v>
      </c>
      <c r="G233" s="402">
        <f>D233*F233</f>
        <v>0</v>
      </c>
    </row>
    <row r="234" spans="1:7" s="160" customFormat="1" x14ac:dyDescent="0.35">
      <c r="A234" s="398"/>
      <c r="B234" s="399"/>
      <c r="C234" s="400"/>
      <c r="D234" s="409"/>
      <c r="E234" s="401"/>
      <c r="F234" s="411"/>
      <c r="G234" s="402">
        <f t="shared" ref="G234" si="13">ROUND(D234*F234,2)</f>
        <v>0</v>
      </c>
    </row>
    <row r="235" spans="1:7" ht="46.5" x14ac:dyDescent="0.35">
      <c r="C235" s="400" t="s">
        <v>815</v>
      </c>
      <c r="D235" s="393">
        <v>6</v>
      </c>
      <c r="E235" s="401" t="s">
        <v>777</v>
      </c>
      <c r="G235" s="402">
        <f>D235*F235</f>
        <v>0</v>
      </c>
    </row>
    <row r="236" spans="1:7" s="160" customFormat="1" x14ac:dyDescent="0.35">
      <c r="A236" s="398"/>
      <c r="B236" s="399"/>
      <c r="C236" s="400"/>
      <c r="D236" s="409"/>
      <c r="E236" s="401"/>
      <c r="F236" s="411"/>
      <c r="G236" s="402">
        <f t="shared" ref="G236" si="14">ROUND(D236*F236,2)</f>
        <v>0</v>
      </c>
    </row>
    <row r="237" spans="1:7" s="160" customFormat="1" ht="116.25" x14ac:dyDescent="0.35">
      <c r="A237" s="398"/>
      <c r="B237" s="399"/>
      <c r="C237" s="435" t="s">
        <v>957</v>
      </c>
      <c r="D237" s="442">
        <v>6</v>
      </c>
      <c r="E237" s="440" t="s">
        <v>761</v>
      </c>
      <c r="F237" s="438"/>
      <c r="G237" s="439">
        <f>D237*F237</f>
        <v>0</v>
      </c>
    </row>
    <row r="238" spans="1:7" s="160" customFormat="1" x14ac:dyDescent="0.35">
      <c r="A238" s="398"/>
      <c r="B238" s="399"/>
      <c r="C238" s="400"/>
      <c r="D238" s="409"/>
      <c r="E238" s="401"/>
      <c r="F238" s="411"/>
      <c r="G238" s="402">
        <f t="shared" ref="G238:G248" si="15">ROUND(D238*F238,2)</f>
        <v>0</v>
      </c>
    </row>
    <row r="239" spans="1:7" s="160" customFormat="1" ht="46.5" x14ac:dyDescent="0.35">
      <c r="A239" s="398"/>
      <c r="B239" s="399"/>
      <c r="C239" s="435" t="s">
        <v>822</v>
      </c>
      <c r="D239" s="442">
        <v>48</v>
      </c>
      <c r="E239" s="440" t="s">
        <v>761</v>
      </c>
      <c r="F239" s="438"/>
      <c r="G239" s="439">
        <f>D239*F239</f>
        <v>0</v>
      </c>
    </row>
    <row r="240" spans="1:7" s="160" customFormat="1" ht="24" thickBot="1" x14ac:dyDescent="0.4">
      <c r="A240" s="398"/>
      <c r="B240" s="399"/>
      <c r="C240" s="400"/>
      <c r="D240" s="409"/>
      <c r="E240" s="401"/>
      <c r="F240" s="411"/>
      <c r="G240" s="402">
        <f t="shared" si="15"/>
        <v>0</v>
      </c>
    </row>
    <row r="241" spans="1:7" s="160" customFormat="1" ht="24" thickBot="1" x14ac:dyDescent="0.4">
      <c r="A241" s="398"/>
      <c r="B241" s="399"/>
      <c r="C241" s="404" t="s">
        <v>760</v>
      </c>
      <c r="D241" s="409"/>
      <c r="E241" s="401"/>
      <c r="F241" s="411"/>
      <c r="G241" s="405">
        <f>SUM(G210:G240)</f>
        <v>0</v>
      </c>
    </row>
    <row r="242" spans="1:7" s="160" customFormat="1" ht="24" thickBot="1" x14ac:dyDescent="0.4">
      <c r="A242" s="398"/>
      <c r="B242" s="399"/>
      <c r="C242" s="400"/>
      <c r="D242" s="409"/>
      <c r="E242" s="401"/>
      <c r="F242" s="411"/>
      <c r="G242" s="402">
        <f t="shared" si="15"/>
        <v>0</v>
      </c>
    </row>
    <row r="243" spans="1:7" ht="18.75" customHeight="1" x14ac:dyDescent="0.35">
      <c r="A243" s="383"/>
      <c r="B243" s="384"/>
      <c r="C243" s="385"/>
      <c r="D243" s="386"/>
      <c r="E243" s="387"/>
      <c r="F243" s="410"/>
      <c r="G243" s="387"/>
    </row>
    <row r="244" spans="1:7" s="160" customFormat="1" x14ac:dyDescent="0.35">
      <c r="A244" s="388"/>
      <c r="B244" s="389"/>
      <c r="C244" s="390"/>
      <c r="D244" s="391"/>
      <c r="E244" s="391"/>
      <c r="F244" s="393" t="s">
        <v>2</v>
      </c>
      <c r="G244" s="393"/>
    </row>
    <row r="245" spans="1:7" s="160" customFormat="1" ht="24" thickBot="1" x14ac:dyDescent="0.4">
      <c r="A245" s="394"/>
      <c r="B245" s="395"/>
      <c r="C245" s="396" t="s">
        <v>753</v>
      </c>
      <c r="D245" s="397" t="s">
        <v>3</v>
      </c>
      <c r="E245" s="397" t="s">
        <v>1</v>
      </c>
      <c r="F245" s="397" t="s">
        <v>4</v>
      </c>
      <c r="G245" s="397" t="s">
        <v>5</v>
      </c>
    </row>
    <row r="246" spans="1:7" s="160" customFormat="1" ht="18" customHeight="1" x14ac:dyDescent="0.35">
      <c r="A246" s="398"/>
      <c r="B246" s="399"/>
      <c r="C246" s="400"/>
      <c r="D246" s="409"/>
      <c r="E246" s="401"/>
      <c r="F246" s="411"/>
      <c r="G246" s="402">
        <f t="shared" si="15"/>
        <v>0</v>
      </c>
    </row>
    <row r="247" spans="1:7" s="160" customFormat="1" x14ac:dyDescent="0.35">
      <c r="A247" s="398"/>
      <c r="B247" s="399"/>
      <c r="C247" s="412" t="s">
        <v>821</v>
      </c>
      <c r="D247" s="409"/>
      <c r="E247" s="401"/>
      <c r="F247" s="411"/>
      <c r="G247" s="402">
        <f t="shared" si="15"/>
        <v>0</v>
      </c>
    </row>
    <row r="248" spans="1:7" s="160" customFormat="1" x14ac:dyDescent="0.35">
      <c r="A248" s="398"/>
      <c r="B248" s="399"/>
      <c r="C248" s="400"/>
      <c r="D248" s="409"/>
      <c r="E248" s="401"/>
      <c r="F248" s="411"/>
      <c r="G248" s="402">
        <f t="shared" si="15"/>
        <v>0</v>
      </c>
    </row>
    <row r="249" spans="1:7" s="160" customFormat="1" ht="46.5" x14ac:dyDescent="0.35">
      <c r="A249" s="398"/>
      <c r="B249" s="399"/>
      <c r="C249" s="435" t="s">
        <v>848</v>
      </c>
      <c r="D249" s="442">
        <v>30</v>
      </c>
      <c r="E249" s="440" t="s">
        <v>777</v>
      </c>
      <c r="F249" s="438"/>
      <c r="G249" s="439">
        <f>D249*F249</f>
        <v>0</v>
      </c>
    </row>
    <row r="250" spans="1:7" s="160" customFormat="1" x14ac:dyDescent="0.35">
      <c r="A250" s="398"/>
      <c r="B250" s="399"/>
      <c r="C250" s="435"/>
      <c r="D250" s="436"/>
      <c r="E250" s="440"/>
      <c r="F250" s="438"/>
      <c r="G250" s="439">
        <f t="shared" ref="G250" si="16">ROUND(D250*F250,2)</f>
        <v>0</v>
      </c>
    </row>
    <row r="251" spans="1:7" s="160" customFormat="1" ht="69.75" x14ac:dyDescent="0.35">
      <c r="A251" s="398"/>
      <c r="B251" s="399"/>
      <c r="C251" s="435" t="s">
        <v>823</v>
      </c>
      <c r="D251" s="442">
        <v>6</v>
      </c>
      <c r="E251" s="440" t="s">
        <v>824</v>
      </c>
      <c r="F251" s="438"/>
      <c r="G251" s="439">
        <f>D251*F251</f>
        <v>0</v>
      </c>
    </row>
    <row r="252" spans="1:7" s="160" customFormat="1" x14ac:dyDescent="0.35">
      <c r="A252" s="398"/>
      <c r="B252" s="399"/>
      <c r="C252" s="400"/>
      <c r="D252" s="409"/>
      <c r="E252" s="401"/>
      <c r="F252" s="411"/>
      <c r="G252" s="402">
        <f t="shared" ref="G252:G259" si="17">ROUND(D252*F252,2)</f>
        <v>0</v>
      </c>
    </row>
    <row r="253" spans="1:7" s="160" customFormat="1" x14ac:dyDescent="0.35">
      <c r="A253" s="398"/>
      <c r="B253" s="399"/>
      <c r="C253" s="400"/>
      <c r="D253" s="409"/>
      <c r="E253" s="401"/>
      <c r="F253" s="411"/>
      <c r="G253" s="402">
        <f t="shared" si="17"/>
        <v>0</v>
      </c>
    </row>
    <row r="254" spans="1:7" s="160" customFormat="1" ht="162.75" x14ac:dyDescent="0.35">
      <c r="A254" s="398"/>
      <c r="B254" s="399"/>
      <c r="C254" s="435" t="s">
        <v>958</v>
      </c>
      <c r="D254" s="442">
        <v>30</v>
      </c>
      <c r="E254" s="440" t="s">
        <v>761</v>
      </c>
      <c r="F254" s="438"/>
      <c r="G254" s="439">
        <f>D254*F254</f>
        <v>0</v>
      </c>
    </row>
    <row r="255" spans="1:7" s="160" customFormat="1" ht="24" thickBot="1" x14ac:dyDescent="0.4">
      <c r="A255" s="398"/>
      <c r="B255" s="399"/>
      <c r="C255" s="400"/>
      <c r="D255" s="409"/>
      <c r="E255" s="401"/>
      <c r="F255" s="411"/>
      <c r="G255" s="402">
        <f t="shared" si="17"/>
        <v>0</v>
      </c>
    </row>
    <row r="256" spans="1:7" s="160" customFormat="1" ht="93.75" thickBot="1" x14ac:dyDescent="0.4">
      <c r="A256" s="398"/>
      <c r="B256" s="399"/>
      <c r="C256" s="435" t="s">
        <v>959</v>
      </c>
      <c r="D256" s="442">
        <v>1</v>
      </c>
      <c r="E256" s="440" t="s">
        <v>819</v>
      </c>
      <c r="F256" s="438"/>
      <c r="G256" s="441">
        <f>D256*F256</f>
        <v>0</v>
      </c>
    </row>
    <row r="257" spans="1:7" s="160" customFormat="1" ht="24" thickBot="1" x14ac:dyDescent="0.4">
      <c r="A257" s="398"/>
      <c r="B257" s="399"/>
      <c r="C257" s="400"/>
      <c r="D257" s="409"/>
      <c r="E257" s="401"/>
      <c r="F257" s="411"/>
      <c r="G257" s="402">
        <f t="shared" si="17"/>
        <v>0</v>
      </c>
    </row>
    <row r="258" spans="1:7" s="160" customFormat="1" ht="47.25" thickBot="1" x14ac:dyDescent="0.4">
      <c r="A258" s="398"/>
      <c r="B258" s="399"/>
      <c r="C258" s="400" t="s">
        <v>954</v>
      </c>
      <c r="D258" s="409">
        <v>1</v>
      </c>
      <c r="E258" s="401" t="s">
        <v>819</v>
      </c>
      <c r="F258" s="411"/>
      <c r="G258" s="433">
        <f>D258*F258</f>
        <v>0</v>
      </c>
    </row>
    <row r="259" spans="1:7" s="160" customFormat="1" x14ac:dyDescent="0.35">
      <c r="A259" s="398"/>
      <c r="B259" s="399"/>
      <c r="C259" s="400"/>
      <c r="D259" s="409"/>
      <c r="E259" s="401"/>
      <c r="F259" s="411"/>
      <c r="G259" s="402">
        <f t="shared" si="17"/>
        <v>0</v>
      </c>
    </row>
    <row r="260" spans="1:7" s="160" customFormat="1" ht="69.75" x14ac:dyDescent="0.35">
      <c r="A260" s="398"/>
      <c r="B260" s="399"/>
      <c r="C260" s="400" t="s">
        <v>818</v>
      </c>
      <c r="D260" s="409">
        <v>1</v>
      </c>
      <c r="E260" s="401" t="s">
        <v>756</v>
      </c>
      <c r="F260" s="411"/>
      <c r="G260" s="402">
        <f>D260*F260</f>
        <v>0</v>
      </c>
    </row>
    <row r="261" spans="1:7" s="160" customFormat="1" x14ac:dyDescent="0.35">
      <c r="A261" s="398"/>
      <c r="B261" s="399"/>
      <c r="C261" s="400"/>
      <c r="D261" s="409"/>
      <c r="E261" s="401"/>
      <c r="F261" s="411"/>
      <c r="G261" s="402">
        <f t="shared" ref="G261:G324" si="18">ROUND(D261*F261,2)</f>
        <v>0</v>
      </c>
    </row>
    <row r="262" spans="1:7" s="160" customFormat="1" x14ac:dyDescent="0.35">
      <c r="A262" s="398"/>
      <c r="B262" s="399"/>
      <c r="C262" s="400"/>
      <c r="D262" s="409"/>
      <c r="E262" s="401"/>
      <c r="F262" s="411"/>
      <c r="G262" s="402">
        <f t="shared" si="18"/>
        <v>0</v>
      </c>
    </row>
    <row r="263" spans="1:7" s="160" customFormat="1" x14ac:dyDescent="0.35">
      <c r="A263" s="398"/>
      <c r="B263" s="399"/>
      <c r="C263" s="400"/>
      <c r="D263" s="409"/>
      <c r="E263" s="401"/>
      <c r="F263" s="411"/>
      <c r="G263" s="402">
        <f t="shared" si="18"/>
        <v>0</v>
      </c>
    </row>
    <row r="264" spans="1:7" s="160" customFormat="1" x14ac:dyDescent="0.35">
      <c r="A264" s="398"/>
      <c r="B264" s="399"/>
      <c r="C264" s="400"/>
      <c r="D264" s="409"/>
      <c r="E264" s="401"/>
      <c r="F264" s="411"/>
      <c r="G264" s="402">
        <f t="shared" si="18"/>
        <v>0</v>
      </c>
    </row>
    <row r="265" spans="1:7" s="160" customFormat="1" x14ac:dyDescent="0.35">
      <c r="A265" s="398"/>
      <c r="B265" s="399"/>
      <c r="C265" s="400"/>
      <c r="D265" s="409"/>
      <c r="E265" s="401"/>
      <c r="F265" s="411"/>
      <c r="G265" s="402">
        <f t="shared" si="18"/>
        <v>0</v>
      </c>
    </row>
    <row r="266" spans="1:7" s="160" customFormat="1" x14ac:dyDescent="0.35">
      <c r="A266" s="398"/>
      <c r="B266" s="399"/>
      <c r="C266" s="400"/>
      <c r="D266" s="409"/>
      <c r="E266" s="401"/>
      <c r="F266" s="411"/>
      <c r="G266" s="402">
        <f t="shared" si="18"/>
        <v>0</v>
      </c>
    </row>
    <row r="267" spans="1:7" s="160" customFormat="1" x14ac:dyDescent="0.35">
      <c r="A267" s="398"/>
      <c r="B267" s="399"/>
      <c r="C267" s="400"/>
      <c r="D267" s="409"/>
      <c r="E267" s="401"/>
      <c r="F267" s="411"/>
      <c r="G267" s="402">
        <f t="shared" si="18"/>
        <v>0</v>
      </c>
    </row>
    <row r="268" spans="1:7" s="160" customFormat="1" x14ac:dyDescent="0.35">
      <c r="A268" s="398"/>
      <c r="B268" s="399"/>
      <c r="C268" s="400"/>
      <c r="D268" s="409"/>
      <c r="E268" s="401"/>
      <c r="F268" s="411"/>
      <c r="G268" s="402">
        <f t="shared" si="18"/>
        <v>0</v>
      </c>
    </row>
    <row r="269" spans="1:7" s="160" customFormat="1" x14ac:dyDescent="0.35">
      <c r="A269" s="398"/>
      <c r="B269" s="399"/>
      <c r="C269" s="400"/>
      <c r="D269" s="409"/>
      <c r="E269" s="401"/>
      <c r="F269" s="411"/>
      <c r="G269" s="402">
        <f t="shared" si="18"/>
        <v>0</v>
      </c>
    </row>
    <row r="270" spans="1:7" s="160" customFormat="1" x14ac:dyDescent="0.35">
      <c r="A270" s="398"/>
      <c r="B270" s="399"/>
      <c r="C270" s="400"/>
      <c r="D270" s="409"/>
      <c r="E270" s="401"/>
      <c r="F270" s="411"/>
      <c r="G270" s="402">
        <f t="shared" si="18"/>
        <v>0</v>
      </c>
    </row>
    <row r="271" spans="1:7" s="160" customFormat="1" x14ac:dyDescent="0.35">
      <c r="A271" s="398"/>
      <c r="B271" s="399"/>
      <c r="C271" s="400"/>
      <c r="D271" s="409"/>
      <c r="E271" s="401"/>
      <c r="F271" s="411"/>
      <c r="G271" s="402">
        <f t="shared" si="18"/>
        <v>0</v>
      </c>
    </row>
    <row r="272" spans="1:7" s="160" customFormat="1" x14ac:dyDescent="0.35">
      <c r="A272" s="398"/>
      <c r="B272" s="399"/>
      <c r="C272" s="400"/>
      <c r="D272" s="409"/>
      <c r="E272" s="401"/>
      <c r="F272" s="411"/>
      <c r="G272" s="402">
        <f t="shared" si="18"/>
        <v>0</v>
      </c>
    </row>
    <row r="273" spans="1:7" s="160" customFormat="1" x14ac:dyDescent="0.35">
      <c r="A273" s="398"/>
      <c r="B273" s="399"/>
      <c r="C273" s="400"/>
      <c r="D273" s="409"/>
      <c r="E273" s="401"/>
      <c r="F273" s="411"/>
      <c r="G273" s="402">
        <f t="shared" si="18"/>
        <v>0</v>
      </c>
    </row>
    <row r="274" spans="1:7" s="160" customFormat="1" x14ac:dyDescent="0.35">
      <c r="A274" s="398"/>
      <c r="B274" s="399"/>
      <c r="C274" s="400"/>
      <c r="D274" s="409"/>
      <c r="E274" s="401"/>
      <c r="F274" s="411"/>
      <c r="G274" s="402">
        <f t="shared" si="18"/>
        <v>0</v>
      </c>
    </row>
    <row r="275" spans="1:7" s="160" customFormat="1" ht="24" thickBot="1" x14ac:dyDescent="0.4">
      <c r="A275" s="398"/>
      <c r="B275" s="399"/>
      <c r="C275" s="400"/>
      <c r="D275" s="409"/>
      <c r="E275" s="401"/>
      <c r="F275" s="411"/>
      <c r="G275" s="402">
        <f t="shared" si="18"/>
        <v>0</v>
      </c>
    </row>
    <row r="276" spans="1:7" s="160" customFormat="1" ht="24" thickBot="1" x14ac:dyDescent="0.4">
      <c r="A276" s="398"/>
      <c r="B276" s="399"/>
      <c r="C276" s="404" t="s">
        <v>760</v>
      </c>
      <c r="D276" s="409"/>
      <c r="E276" s="401"/>
      <c r="F276" s="411"/>
      <c r="G276" s="405">
        <f>SUM(G247:G275)</f>
        <v>0</v>
      </c>
    </row>
    <row r="277" spans="1:7" s="160" customFormat="1" x14ac:dyDescent="0.35">
      <c r="A277" s="398"/>
      <c r="B277" s="399"/>
      <c r="C277" s="400"/>
      <c r="D277" s="409"/>
      <c r="E277" s="401"/>
      <c r="F277" s="411"/>
      <c r="G277" s="402">
        <f t="shared" si="18"/>
        <v>0</v>
      </c>
    </row>
    <row r="278" spans="1:7" s="160" customFormat="1" x14ac:dyDescent="0.35">
      <c r="A278" s="398"/>
      <c r="B278" s="399"/>
      <c r="C278" s="400"/>
      <c r="D278" s="409"/>
      <c r="E278" s="401"/>
      <c r="F278" s="411"/>
      <c r="G278" s="402">
        <f t="shared" si="18"/>
        <v>0</v>
      </c>
    </row>
    <row r="279" spans="1:7" s="160" customFormat="1" ht="24" thickBot="1" x14ac:dyDescent="0.4">
      <c r="A279" s="398"/>
      <c r="B279" s="399"/>
      <c r="C279" s="400"/>
      <c r="D279" s="409"/>
      <c r="E279" s="401"/>
      <c r="F279" s="411"/>
      <c r="G279" s="402">
        <f t="shared" si="18"/>
        <v>0</v>
      </c>
    </row>
    <row r="280" spans="1:7" ht="18.75" customHeight="1" x14ac:dyDescent="0.35">
      <c r="A280" s="383"/>
      <c r="B280" s="384"/>
      <c r="C280" s="385"/>
      <c r="D280" s="386"/>
      <c r="E280" s="387"/>
      <c r="F280" s="410"/>
      <c r="G280" s="387"/>
    </row>
    <row r="281" spans="1:7" s="160" customFormat="1" x14ac:dyDescent="0.35">
      <c r="A281" s="388"/>
      <c r="B281" s="389"/>
      <c r="C281" s="390"/>
      <c r="D281" s="391"/>
      <c r="E281" s="391"/>
      <c r="F281" s="393" t="s">
        <v>2</v>
      </c>
      <c r="G281" s="393"/>
    </row>
    <row r="282" spans="1:7" s="160" customFormat="1" ht="24" thickBot="1" x14ac:dyDescent="0.4">
      <c r="A282" s="394"/>
      <c r="B282" s="395"/>
      <c r="C282" s="396" t="s">
        <v>753</v>
      </c>
      <c r="D282" s="397" t="s">
        <v>3</v>
      </c>
      <c r="E282" s="397" t="s">
        <v>1</v>
      </c>
      <c r="F282" s="397" t="s">
        <v>4</v>
      </c>
      <c r="G282" s="397" t="s">
        <v>5</v>
      </c>
    </row>
    <row r="283" spans="1:7" s="160" customFormat="1" ht="18" customHeight="1" x14ac:dyDescent="0.35">
      <c r="A283" s="398"/>
      <c r="B283" s="399"/>
      <c r="C283" s="400"/>
      <c r="D283" s="409"/>
      <c r="E283" s="401"/>
      <c r="F283" s="411"/>
      <c r="G283" s="402">
        <f t="shared" ref="G283:G284" si="19">ROUND(D283*F283,2)</f>
        <v>0</v>
      </c>
    </row>
    <row r="284" spans="1:7" s="160" customFormat="1" x14ac:dyDescent="0.35">
      <c r="A284" s="398"/>
      <c r="B284" s="399"/>
      <c r="C284" s="412" t="s">
        <v>820</v>
      </c>
      <c r="D284" s="409"/>
      <c r="E284" s="401"/>
      <c r="F284" s="411"/>
      <c r="G284" s="402">
        <f t="shared" si="19"/>
        <v>0</v>
      </c>
    </row>
    <row r="285" spans="1:7" s="160" customFormat="1" ht="24" thickBot="1" x14ac:dyDescent="0.4">
      <c r="A285" s="398"/>
      <c r="B285" s="399"/>
      <c r="C285" s="400"/>
      <c r="D285" s="409"/>
      <c r="E285" s="401"/>
      <c r="F285" s="411"/>
      <c r="G285" s="402">
        <f t="shared" si="18"/>
        <v>0</v>
      </c>
    </row>
    <row r="286" spans="1:7" s="160" customFormat="1" ht="47.25" thickBot="1" x14ac:dyDescent="0.4">
      <c r="A286" s="398"/>
      <c r="B286" s="399"/>
      <c r="C286" s="400" t="s">
        <v>952</v>
      </c>
      <c r="D286" s="409">
        <v>1</v>
      </c>
      <c r="E286" s="401" t="s">
        <v>756</v>
      </c>
      <c r="F286" s="411"/>
      <c r="G286" s="433">
        <f t="shared" ref="G286:G292" si="20">D286*F286</f>
        <v>0</v>
      </c>
    </row>
    <row r="287" spans="1:7" s="160" customFormat="1" x14ac:dyDescent="0.35">
      <c r="A287" s="398"/>
      <c r="B287" s="399"/>
      <c r="C287" s="400"/>
      <c r="D287" s="409"/>
      <c r="E287" s="401"/>
      <c r="F287" s="411"/>
      <c r="G287" s="402">
        <f t="shared" si="20"/>
        <v>0</v>
      </c>
    </row>
    <row r="288" spans="1:7" s="160" customFormat="1" x14ac:dyDescent="0.35">
      <c r="A288" s="398"/>
      <c r="B288" s="399"/>
      <c r="C288" s="400"/>
      <c r="D288" s="409"/>
      <c r="E288" s="401"/>
      <c r="F288" s="411"/>
      <c r="G288" s="402">
        <f t="shared" si="20"/>
        <v>0</v>
      </c>
    </row>
    <row r="289" spans="1:7" s="160" customFormat="1" x14ac:dyDescent="0.35">
      <c r="A289" s="398"/>
      <c r="B289" s="399"/>
      <c r="C289" s="400"/>
      <c r="D289" s="409"/>
      <c r="E289" s="401"/>
      <c r="F289" s="411"/>
      <c r="G289" s="402">
        <f t="shared" si="20"/>
        <v>0</v>
      </c>
    </row>
    <row r="290" spans="1:7" s="160" customFormat="1" x14ac:dyDescent="0.35">
      <c r="A290" s="398"/>
      <c r="B290" s="399"/>
      <c r="C290" s="400" t="s">
        <v>949</v>
      </c>
      <c r="D290" s="409">
        <v>1</v>
      </c>
      <c r="E290" s="401" t="s">
        <v>756</v>
      </c>
      <c r="F290" s="411"/>
      <c r="G290" s="402">
        <f t="shared" si="20"/>
        <v>0</v>
      </c>
    </row>
    <row r="291" spans="1:7" s="160" customFormat="1" x14ac:dyDescent="0.35">
      <c r="A291" s="398"/>
      <c r="B291" s="399"/>
      <c r="C291" s="400"/>
      <c r="D291" s="409"/>
      <c r="E291" s="401"/>
      <c r="F291" s="411"/>
      <c r="G291" s="402">
        <f t="shared" si="20"/>
        <v>0</v>
      </c>
    </row>
    <row r="292" spans="1:7" s="160" customFormat="1" x14ac:dyDescent="0.35">
      <c r="A292" s="398"/>
      <c r="B292" s="399"/>
      <c r="C292" s="400"/>
      <c r="D292" s="409"/>
      <c r="E292" s="401"/>
      <c r="F292" s="411"/>
      <c r="G292" s="402">
        <f t="shared" si="20"/>
        <v>0</v>
      </c>
    </row>
    <row r="293" spans="1:7" s="160" customFormat="1" x14ac:dyDescent="0.35">
      <c r="A293" s="398"/>
      <c r="B293" s="399"/>
      <c r="C293" s="400"/>
      <c r="D293" s="409"/>
      <c r="E293" s="401"/>
      <c r="F293" s="411"/>
      <c r="G293" s="402">
        <f t="shared" ref="G293:G296" si="21">D293*F293</f>
        <v>0</v>
      </c>
    </row>
    <row r="294" spans="1:7" s="160" customFormat="1" x14ac:dyDescent="0.35">
      <c r="A294" s="398"/>
      <c r="B294" s="399"/>
      <c r="C294" s="400"/>
      <c r="D294" s="409"/>
      <c r="E294" s="401"/>
      <c r="F294" s="411"/>
      <c r="G294" s="402">
        <f t="shared" si="21"/>
        <v>0</v>
      </c>
    </row>
    <row r="295" spans="1:7" s="160" customFormat="1" x14ac:dyDescent="0.35">
      <c r="A295" s="398"/>
      <c r="B295" s="399"/>
      <c r="C295" s="400"/>
      <c r="D295" s="409"/>
      <c r="E295" s="401"/>
      <c r="F295" s="411"/>
      <c r="G295" s="402">
        <f t="shared" si="21"/>
        <v>0</v>
      </c>
    </row>
    <row r="296" spans="1:7" s="160" customFormat="1" x14ac:dyDescent="0.35">
      <c r="A296" s="398"/>
      <c r="B296" s="399"/>
      <c r="C296" s="400"/>
      <c r="D296" s="409"/>
      <c r="E296" s="401"/>
      <c r="F296" s="411"/>
      <c r="G296" s="402">
        <f t="shared" si="21"/>
        <v>0</v>
      </c>
    </row>
    <row r="297" spans="1:7" s="160" customFormat="1" x14ac:dyDescent="0.35">
      <c r="A297" s="398"/>
      <c r="B297" s="399"/>
      <c r="C297" s="400"/>
      <c r="D297" s="409"/>
      <c r="E297" s="401"/>
      <c r="F297" s="411"/>
      <c r="G297" s="402">
        <f t="shared" si="18"/>
        <v>0</v>
      </c>
    </row>
    <row r="298" spans="1:7" s="160" customFormat="1" x14ac:dyDescent="0.35">
      <c r="A298" s="398"/>
      <c r="B298" s="399"/>
      <c r="C298" s="400"/>
      <c r="D298" s="409"/>
      <c r="E298" s="401"/>
      <c r="F298" s="411"/>
      <c r="G298" s="402">
        <f t="shared" si="18"/>
        <v>0</v>
      </c>
    </row>
    <row r="299" spans="1:7" s="160" customFormat="1" x14ac:dyDescent="0.35">
      <c r="A299" s="398"/>
      <c r="B299" s="399"/>
      <c r="C299" s="400"/>
      <c r="D299" s="409"/>
      <c r="E299" s="401"/>
      <c r="F299" s="411"/>
      <c r="G299" s="402">
        <f t="shared" si="18"/>
        <v>0</v>
      </c>
    </row>
    <row r="300" spans="1:7" s="160" customFormat="1" x14ac:dyDescent="0.35">
      <c r="A300" s="398"/>
      <c r="B300" s="399"/>
      <c r="C300" s="400"/>
      <c r="D300" s="409"/>
      <c r="E300" s="401"/>
      <c r="F300" s="411"/>
      <c r="G300" s="402">
        <f>D300*F300</f>
        <v>0</v>
      </c>
    </row>
    <row r="301" spans="1:7" s="160" customFormat="1" x14ac:dyDescent="0.35">
      <c r="A301" s="398"/>
      <c r="B301" s="399"/>
      <c r="C301" s="400"/>
      <c r="D301" s="409"/>
      <c r="E301" s="401"/>
      <c r="F301" s="411"/>
      <c r="G301" s="402">
        <f t="shared" ref="G301:G306" si="22">D301*F301</f>
        <v>0</v>
      </c>
    </row>
    <row r="302" spans="1:7" s="160" customFormat="1" x14ac:dyDescent="0.35">
      <c r="A302" s="398"/>
      <c r="B302" s="399"/>
      <c r="C302" s="400"/>
      <c r="D302" s="409"/>
      <c r="E302" s="401"/>
      <c r="F302" s="411"/>
      <c r="G302" s="402">
        <f t="shared" si="22"/>
        <v>0</v>
      </c>
    </row>
    <row r="303" spans="1:7" s="160" customFormat="1" x14ac:dyDescent="0.35">
      <c r="A303" s="398"/>
      <c r="B303" s="399"/>
      <c r="C303" s="400"/>
      <c r="D303" s="409"/>
      <c r="E303" s="401"/>
      <c r="F303" s="411"/>
      <c r="G303" s="402">
        <f t="shared" si="22"/>
        <v>0</v>
      </c>
    </row>
    <row r="304" spans="1:7" s="160" customFormat="1" x14ac:dyDescent="0.35">
      <c r="A304" s="398"/>
      <c r="B304" s="399"/>
      <c r="C304" s="400"/>
      <c r="D304" s="409"/>
      <c r="E304" s="401"/>
      <c r="F304" s="411"/>
      <c r="G304" s="402">
        <f t="shared" si="22"/>
        <v>0</v>
      </c>
    </row>
    <row r="305" spans="1:7" s="160" customFormat="1" x14ac:dyDescent="0.35">
      <c r="A305" s="398"/>
      <c r="B305" s="399"/>
      <c r="C305" s="400"/>
      <c r="D305" s="409"/>
      <c r="E305" s="401"/>
      <c r="F305" s="411"/>
      <c r="G305" s="402">
        <f t="shared" si="22"/>
        <v>0</v>
      </c>
    </row>
    <row r="306" spans="1:7" s="160" customFormat="1" x14ac:dyDescent="0.35">
      <c r="A306" s="398"/>
      <c r="B306" s="399"/>
      <c r="C306" s="400"/>
      <c r="D306" s="409"/>
      <c r="E306" s="401"/>
      <c r="F306" s="411"/>
      <c r="G306" s="402">
        <f t="shared" si="22"/>
        <v>0</v>
      </c>
    </row>
    <row r="307" spans="1:7" s="160" customFormat="1" x14ac:dyDescent="0.35">
      <c r="A307" s="398"/>
      <c r="B307" s="399"/>
      <c r="C307" s="400"/>
      <c r="D307" s="409"/>
      <c r="E307" s="401"/>
      <c r="F307" s="411"/>
      <c r="G307" s="402">
        <f t="shared" si="18"/>
        <v>0</v>
      </c>
    </row>
    <row r="308" spans="1:7" s="160" customFormat="1" x14ac:dyDescent="0.35">
      <c r="A308" s="398"/>
      <c r="B308" s="399"/>
      <c r="C308" s="400"/>
      <c r="D308" s="409"/>
      <c r="E308" s="401"/>
      <c r="F308" s="411"/>
      <c r="G308" s="402">
        <f t="shared" si="18"/>
        <v>0</v>
      </c>
    </row>
    <row r="309" spans="1:7" s="160" customFormat="1" x14ac:dyDescent="0.35">
      <c r="A309" s="398"/>
      <c r="B309" s="399"/>
      <c r="C309" s="400"/>
      <c r="D309" s="409"/>
      <c r="E309" s="401"/>
      <c r="F309" s="411"/>
      <c r="G309" s="402">
        <f t="shared" si="18"/>
        <v>0</v>
      </c>
    </row>
    <row r="310" spans="1:7" s="160" customFormat="1" x14ac:dyDescent="0.35">
      <c r="A310" s="398"/>
      <c r="B310" s="399"/>
      <c r="C310" s="400"/>
      <c r="D310" s="409"/>
      <c r="E310" s="401"/>
      <c r="F310" s="411"/>
      <c r="G310" s="402">
        <f t="shared" si="18"/>
        <v>0</v>
      </c>
    </row>
    <row r="311" spans="1:7" s="160" customFormat="1" x14ac:dyDescent="0.35">
      <c r="A311" s="398"/>
      <c r="B311" s="399"/>
      <c r="C311" s="400"/>
      <c r="D311" s="409"/>
      <c r="E311" s="401"/>
      <c r="F311" s="411"/>
      <c r="G311" s="402">
        <f t="shared" si="18"/>
        <v>0</v>
      </c>
    </row>
    <row r="312" spans="1:7" s="160" customFormat="1" x14ac:dyDescent="0.35">
      <c r="A312" s="398"/>
      <c r="B312" s="399"/>
      <c r="C312" s="400"/>
      <c r="D312" s="409"/>
      <c r="E312" s="401"/>
      <c r="F312" s="411"/>
      <c r="G312" s="402">
        <f t="shared" si="18"/>
        <v>0</v>
      </c>
    </row>
    <row r="313" spans="1:7" s="160" customFormat="1" x14ac:dyDescent="0.35">
      <c r="A313" s="398"/>
      <c r="B313" s="399"/>
      <c r="C313" s="400"/>
      <c r="D313" s="409"/>
      <c r="E313" s="401"/>
      <c r="F313" s="411"/>
      <c r="G313" s="402">
        <f t="shared" si="18"/>
        <v>0</v>
      </c>
    </row>
    <row r="314" spans="1:7" s="160" customFormat="1" x14ac:dyDescent="0.35">
      <c r="A314" s="398"/>
      <c r="B314" s="399"/>
      <c r="C314" s="400"/>
      <c r="D314" s="409"/>
      <c r="E314" s="401"/>
      <c r="F314" s="411"/>
      <c r="G314" s="402">
        <f t="shared" si="18"/>
        <v>0</v>
      </c>
    </row>
    <row r="315" spans="1:7" s="160" customFormat="1" x14ac:dyDescent="0.35">
      <c r="A315" s="398"/>
      <c r="B315" s="399"/>
      <c r="C315" s="400"/>
      <c r="D315" s="409"/>
      <c r="E315" s="401"/>
      <c r="F315" s="411"/>
      <c r="G315" s="402">
        <f t="shared" si="18"/>
        <v>0</v>
      </c>
    </row>
    <row r="316" spans="1:7" s="160" customFormat="1" x14ac:dyDescent="0.35">
      <c r="A316" s="398"/>
      <c r="B316" s="399"/>
      <c r="C316" s="400"/>
      <c r="D316" s="409"/>
      <c r="E316" s="401"/>
      <c r="F316" s="411"/>
      <c r="G316" s="402">
        <f t="shared" si="18"/>
        <v>0</v>
      </c>
    </row>
    <row r="317" spans="1:7" s="160" customFormat="1" x14ac:dyDescent="0.35">
      <c r="A317" s="398"/>
      <c r="B317" s="399"/>
      <c r="C317" s="400"/>
      <c r="D317" s="409"/>
      <c r="E317" s="401"/>
      <c r="F317" s="411"/>
      <c r="G317" s="402">
        <f t="shared" si="18"/>
        <v>0</v>
      </c>
    </row>
    <row r="318" spans="1:7" s="160" customFormat="1" x14ac:dyDescent="0.35">
      <c r="A318" s="398"/>
      <c r="B318" s="399"/>
      <c r="C318" s="400"/>
      <c r="D318" s="409"/>
      <c r="E318" s="401"/>
      <c r="F318" s="411"/>
      <c r="G318" s="402">
        <f t="shared" si="18"/>
        <v>0</v>
      </c>
    </row>
    <row r="319" spans="1:7" s="160" customFormat="1" x14ac:dyDescent="0.35">
      <c r="A319" s="398"/>
      <c r="B319" s="399"/>
      <c r="C319" s="400"/>
      <c r="D319" s="409"/>
      <c r="E319" s="401"/>
      <c r="F319" s="411"/>
      <c r="G319" s="402">
        <f t="shared" si="18"/>
        <v>0</v>
      </c>
    </row>
    <row r="320" spans="1:7" s="160" customFormat="1" x14ac:dyDescent="0.35">
      <c r="A320" s="398"/>
      <c r="B320" s="399"/>
      <c r="C320" s="400"/>
      <c r="D320" s="409"/>
      <c r="E320" s="401"/>
      <c r="F320" s="411"/>
      <c r="G320" s="402">
        <f t="shared" si="18"/>
        <v>0</v>
      </c>
    </row>
    <row r="321" spans="1:7" s="160" customFormat="1" x14ac:dyDescent="0.35">
      <c r="A321" s="398"/>
      <c r="B321" s="399"/>
      <c r="C321" s="400"/>
      <c r="D321" s="409"/>
      <c r="E321" s="401"/>
      <c r="F321" s="411"/>
      <c r="G321" s="402"/>
    </row>
    <row r="322" spans="1:7" s="160" customFormat="1" ht="24" thickBot="1" x14ac:dyDescent="0.4">
      <c r="A322" s="398"/>
      <c r="B322" s="399"/>
      <c r="C322" s="400"/>
      <c r="D322" s="409"/>
      <c r="E322" s="401"/>
      <c r="F322" s="411"/>
      <c r="G322" s="402">
        <f t="shared" si="18"/>
        <v>0</v>
      </c>
    </row>
    <row r="323" spans="1:7" s="160" customFormat="1" ht="24" thickBot="1" x14ac:dyDescent="0.4">
      <c r="A323" s="398"/>
      <c r="B323" s="399"/>
      <c r="C323" s="404" t="s">
        <v>760</v>
      </c>
      <c r="D323" s="409"/>
      <c r="E323" s="401"/>
      <c r="F323" s="411"/>
      <c r="G323" s="405">
        <f>SUM(G285:G322)</f>
        <v>0</v>
      </c>
    </row>
    <row r="324" spans="1:7" s="160" customFormat="1" x14ac:dyDescent="0.35">
      <c r="A324" s="398"/>
      <c r="B324" s="399"/>
      <c r="C324" s="400"/>
      <c r="D324" s="409"/>
      <c r="E324" s="401"/>
      <c r="F324" s="411"/>
      <c r="G324" s="402">
        <f t="shared" si="18"/>
        <v>0</v>
      </c>
    </row>
    <row r="325" spans="1:7" s="160" customFormat="1" x14ac:dyDescent="0.35">
      <c r="A325" s="398"/>
      <c r="B325" s="399"/>
      <c r="C325" s="400"/>
      <c r="D325" s="409"/>
      <c r="E325" s="401"/>
      <c r="F325" s="411"/>
      <c r="G325" s="402">
        <f t="shared" ref="G325:G384" si="23">ROUND(D325*F325,2)</f>
        <v>0</v>
      </c>
    </row>
    <row r="326" spans="1:7" s="160" customFormat="1" x14ac:dyDescent="0.35">
      <c r="A326" s="398"/>
      <c r="B326" s="399"/>
      <c r="C326" s="400"/>
      <c r="D326" s="409"/>
      <c r="E326" s="401"/>
      <c r="F326" s="411"/>
      <c r="G326" s="402">
        <f t="shared" si="23"/>
        <v>0</v>
      </c>
    </row>
    <row r="327" spans="1:7" s="160" customFormat="1" x14ac:dyDescent="0.35">
      <c r="A327" s="398"/>
      <c r="B327" s="399"/>
      <c r="C327" s="400"/>
      <c r="D327" s="409"/>
      <c r="E327" s="401"/>
      <c r="F327" s="411"/>
      <c r="G327" s="402">
        <f t="shared" si="23"/>
        <v>0</v>
      </c>
    </row>
    <row r="328" spans="1:7" s="160" customFormat="1" x14ac:dyDescent="0.35">
      <c r="A328" s="398"/>
      <c r="B328" s="399"/>
      <c r="C328" s="400"/>
      <c r="D328" s="409"/>
      <c r="E328" s="401"/>
      <c r="F328" s="411"/>
      <c r="G328" s="402">
        <f t="shared" si="23"/>
        <v>0</v>
      </c>
    </row>
    <row r="329" spans="1:7" s="160" customFormat="1" x14ac:dyDescent="0.35">
      <c r="A329" s="398"/>
      <c r="B329" s="399"/>
      <c r="C329" s="400"/>
      <c r="D329" s="409"/>
      <c r="E329" s="401"/>
      <c r="F329" s="411"/>
      <c r="G329" s="402">
        <f t="shared" si="23"/>
        <v>0</v>
      </c>
    </row>
    <row r="330" spans="1:7" s="160" customFormat="1" ht="24" thickBot="1" x14ac:dyDescent="0.4">
      <c r="A330" s="398"/>
      <c r="B330" s="399"/>
      <c r="C330" s="400"/>
      <c r="D330" s="409"/>
      <c r="E330" s="401"/>
      <c r="F330" s="411"/>
      <c r="G330" s="402">
        <f t="shared" si="23"/>
        <v>0</v>
      </c>
    </row>
    <row r="331" spans="1:7" ht="18.75" customHeight="1" x14ac:dyDescent="0.35">
      <c r="A331" s="383"/>
      <c r="B331" s="384"/>
      <c r="C331" s="385"/>
      <c r="D331" s="386"/>
      <c r="E331" s="387"/>
      <c r="F331" s="410"/>
      <c r="G331" s="387"/>
    </row>
    <row r="332" spans="1:7" s="160" customFormat="1" x14ac:dyDescent="0.35">
      <c r="A332" s="388"/>
      <c r="B332" s="389"/>
      <c r="C332" s="390"/>
      <c r="D332" s="391"/>
      <c r="E332" s="391"/>
      <c r="F332" s="393" t="s">
        <v>2</v>
      </c>
      <c r="G332" s="393"/>
    </row>
    <row r="333" spans="1:7" s="160" customFormat="1" ht="24" thickBot="1" x14ac:dyDescent="0.4">
      <c r="A333" s="394"/>
      <c r="B333" s="395"/>
      <c r="C333" s="396" t="s">
        <v>753</v>
      </c>
      <c r="D333" s="397" t="s">
        <v>3</v>
      </c>
      <c r="E333" s="397" t="s">
        <v>1</v>
      </c>
      <c r="F333" s="397" t="s">
        <v>4</v>
      </c>
      <c r="G333" s="397" t="s">
        <v>5</v>
      </c>
    </row>
    <row r="334" spans="1:7" s="160" customFormat="1" ht="18" customHeight="1" x14ac:dyDescent="0.35">
      <c r="A334" s="398"/>
      <c r="B334" s="399"/>
      <c r="C334" s="400"/>
      <c r="D334" s="409"/>
      <c r="E334" s="401"/>
      <c r="F334" s="411"/>
      <c r="G334" s="402">
        <f t="shared" ref="G334:G335" si="24">ROUND(D334*F334,2)</f>
        <v>0</v>
      </c>
    </row>
    <row r="335" spans="1:7" s="160" customFormat="1" x14ac:dyDescent="0.35">
      <c r="A335" s="398"/>
      <c r="B335" s="399"/>
      <c r="C335" s="412" t="s">
        <v>825</v>
      </c>
      <c r="D335" s="409"/>
      <c r="E335" s="401"/>
      <c r="F335" s="411"/>
      <c r="G335" s="402">
        <f t="shared" si="24"/>
        <v>0</v>
      </c>
    </row>
    <row r="336" spans="1:7" s="160" customFormat="1" x14ac:dyDescent="0.35">
      <c r="A336" s="398"/>
      <c r="B336" s="399"/>
      <c r="C336" s="400"/>
      <c r="D336" s="409"/>
      <c r="E336" s="401"/>
      <c r="F336" s="411"/>
      <c r="G336" s="402">
        <f t="shared" si="23"/>
        <v>0</v>
      </c>
    </row>
    <row r="337" spans="1:7" s="160" customFormat="1" x14ac:dyDescent="0.35">
      <c r="A337" s="398"/>
      <c r="B337" s="399"/>
      <c r="C337" s="400"/>
      <c r="D337" s="409"/>
      <c r="E337" s="401"/>
      <c r="F337" s="411"/>
      <c r="G337" s="402">
        <f t="shared" si="23"/>
        <v>0</v>
      </c>
    </row>
    <row r="338" spans="1:7" s="160" customFormat="1" ht="24" thickBot="1" x14ac:dyDescent="0.4">
      <c r="A338" s="398"/>
      <c r="B338" s="399"/>
      <c r="C338" s="400"/>
      <c r="D338" s="409"/>
      <c r="E338" s="401"/>
      <c r="F338" s="411"/>
      <c r="G338" s="402">
        <f t="shared" si="23"/>
        <v>0</v>
      </c>
    </row>
    <row r="339" spans="1:7" s="160" customFormat="1" ht="47.25" thickBot="1" x14ac:dyDescent="0.4">
      <c r="A339" s="398"/>
      <c r="B339" s="399"/>
      <c r="C339" s="400" t="s">
        <v>953</v>
      </c>
      <c r="D339" s="409">
        <v>1</v>
      </c>
      <c r="E339" s="401" t="s">
        <v>819</v>
      </c>
      <c r="F339" s="411"/>
      <c r="G339" s="433">
        <f t="shared" ref="G339" si="25">D339*F339</f>
        <v>0</v>
      </c>
    </row>
    <row r="340" spans="1:7" s="160" customFormat="1" x14ac:dyDescent="0.35">
      <c r="A340" s="398"/>
      <c r="B340" s="399"/>
      <c r="C340" s="400"/>
      <c r="D340" s="409"/>
      <c r="E340" s="401"/>
      <c r="F340" s="411"/>
      <c r="G340" s="402">
        <f t="shared" ref="G340:G344" si="26">ROUND(D340*F340,2)</f>
        <v>0</v>
      </c>
    </row>
    <row r="341" spans="1:7" s="160" customFormat="1" x14ac:dyDescent="0.35">
      <c r="A341" s="398"/>
      <c r="B341" s="399"/>
      <c r="C341" s="400"/>
      <c r="D341" s="409"/>
      <c r="E341" s="401"/>
      <c r="F341" s="411"/>
      <c r="G341" s="402">
        <f t="shared" si="26"/>
        <v>0</v>
      </c>
    </row>
    <row r="342" spans="1:7" s="160" customFormat="1" x14ac:dyDescent="0.35">
      <c r="A342" s="398"/>
      <c r="B342" s="399"/>
      <c r="C342" s="400"/>
      <c r="D342" s="409"/>
      <c r="E342" s="401"/>
      <c r="F342" s="411"/>
      <c r="G342" s="402">
        <f t="shared" si="26"/>
        <v>0</v>
      </c>
    </row>
    <row r="343" spans="1:7" s="160" customFormat="1" x14ac:dyDescent="0.35">
      <c r="A343" s="398"/>
      <c r="B343" s="399"/>
      <c r="C343" s="400"/>
      <c r="D343" s="409"/>
      <c r="E343" s="401"/>
      <c r="F343" s="411"/>
      <c r="G343" s="402">
        <f t="shared" si="26"/>
        <v>0</v>
      </c>
    </row>
    <row r="344" spans="1:7" s="160" customFormat="1" x14ac:dyDescent="0.35">
      <c r="A344" s="398"/>
      <c r="B344" s="399"/>
      <c r="C344" s="400"/>
      <c r="D344" s="409"/>
      <c r="E344" s="401"/>
      <c r="F344" s="411"/>
      <c r="G344" s="402">
        <f t="shared" si="26"/>
        <v>0</v>
      </c>
    </row>
    <row r="345" spans="1:7" s="160" customFormat="1" ht="69.75" x14ac:dyDescent="0.35">
      <c r="A345" s="398"/>
      <c r="B345" s="399"/>
      <c r="C345" s="400" t="s">
        <v>818</v>
      </c>
      <c r="D345" s="409">
        <v>1</v>
      </c>
      <c r="E345" s="401" t="s">
        <v>756</v>
      </c>
      <c r="F345" s="411"/>
      <c r="G345" s="402">
        <f t="shared" ref="G345:G346" si="27">D345*F345</f>
        <v>0</v>
      </c>
    </row>
    <row r="346" spans="1:7" s="160" customFormat="1" x14ac:dyDescent="0.35">
      <c r="A346" s="398"/>
      <c r="B346" s="399"/>
      <c r="C346" s="400"/>
      <c r="D346" s="409"/>
      <c r="E346" s="401"/>
      <c r="F346" s="411"/>
      <c r="G346" s="402">
        <f t="shared" si="27"/>
        <v>0</v>
      </c>
    </row>
    <row r="347" spans="1:7" s="160" customFormat="1" x14ac:dyDescent="0.35">
      <c r="A347" s="398"/>
      <c r="B347" s="399"/>
      <c r="C347" s="400"/>
      <c r="D347" s="409"/>
      <c r="E347" s="401"/>
      <c r="F347" s="411"/>
      <c r="G347" s="402"/>
    </row>
    <row r="348" spans="1:7" s="160" customFormat="1" x14ac:dyDescent="0.35">
      <c r="A348" s="398"/>
      <c r="B348" s="399"/>
      <c r="C348" s="400"/>
      <c r="D348" s="409"/>
      <c r="E348" s="401"/>
      <c r="F348" s="411"/>
      <c r="G348" s="402"/>
    </row>
    <row r="349" spans="1:7" s="160" customFormat="1" x14ac:dyDescent="0.35">
      <c r="A349" s="398"/>
      <c r="B349" s="399"/>
      <c r="C349" s="400"/>
      <c r="D349" s="409"/>
      <c r="E349" s="401"/>
      <c r="F349" s="411"/>
      <c r="G349" s="402"/>
    </row>
    <row r="350" spans="1:7" s="160" customFormat="1" x14ac:dyDescent="0.35">
      <c r="A350" s="398"/>
      <c r="B350" s="399"/>
      <c r="C350" s="400"/>
      <c r="D350" s="409"/>
      <c r="E350" s="401"/>
      <c r="F350" s="411"/>
      <c r="G350" s="402"/>
    </row>
    <row r="351" spans="1:7" s="160" customFormat="1" x14ac:dyDescent="0.35">
      <c r="A351" s="398"/>
      <c r="B351" s="399"/>
      <c r="C351" s="400"/>
      <c r="D351" s="409"/>
      <c r="E351" s="401"/>
      <c r="F351" s="411"/>
      <c r="G351" s="402"/>
    </row>
    <row r="352" spans="1:7" s="160" customFormat="1" x14ac:dyDescent="0.35">
      <c r="A352" s="398"/>
      <c r="B352" s="399"/>
      <c r="C352" s="400"/>
      <c r="D352" s="409"/>
      <c r="E352" s="401"/>
      <c r="F352" s="411"/>
      <c r="G352" s="402">
        <f t="shared" si="23"/>
        <v>0</v>
      </c>
    </row>
    <row r="353" spans="1:7" s="160" customFormat="1" x14ac:dyDescent="0.35">
      <c r="A353" s="398"/>
      <c r="B353" s="399"/>
      <c r="C353" s="400"/>
      <c r="D353" s="409"/>
      <c r="E353" s="401"/>
      <c r="F353" s="411"/>
      <c r="G353" s="402">
        <f t="shared" si="23"/>
        <v>0</v>
      </c>
    </row>
    <row r="354" spans="1:7" s="160" customFormat="1" x14ac:dyDescent="0.35">
      <c r="A354" s="398"/>
      <c r="B354" s="399"/>
      <c r="C354" s="400"/>
      <c r="D354" s="409"/>
      <c r="E354" s="401"/>
      <c r="F354" s="411"/>
      <c r="G354" s="402">
        <f t="shared" si="23"/>
        <v>0</v>
      </c>
    </row>
    <row r="355" spans="1:7" s="160" customFormat="1" x14ac:dyDescent="0.35">
      <c r="A355" s="398"/>
      <c r="B355" s="399"/>
      <c r="C355" s="400"/>
      <c r="D355" s="409"/>
      <c r="E355" s="401"/>
      <c r="F355" s="411"/>
      <c r="G355" s="402">
        <f t="shared" si="23"/>
        <v>0</v>
      </c>
    </row>
    <row r="356" spans="1:7" s="160" customFormat="1" x14ac:dyDescent="0.35">
      <c r="A356" s="398"/>
      <c r="B356" s="399"/>
      <c r="C356" s="400"/>
      <c r="D356" s="409"/>
      <c r="E356" s="401"/>
      <c r="F356" s="411"/>
      <c r="G356" s="402">
        <f t="shared" si="23"/>
        <v>0</v>
      </c>
    </row>
    <row r="357" spans="1:7" s="160" customFormat="1" x14ac:dyDescent="0.35">
      <c r="A357" s="398"/>
      <c r="B357" s="399"/>
      <c r="C357" s="400"/>
      <c r="D357" s="409"/>
      <c r="E357" s="401"/>
      <c r="F357" s="411"/>
      <c r="G357" s="402">
        <f t="shared" si="23"/>
        <v>0</v>
      </c>
    </row>
    <row r="358" spans="1:7" s="160" customFormat="1" x14ac:dyDescent="0.35">
      <c r="A358" s="398"/>
      <c r="B358" s="399"/>
      <c r="C358" s="400"/>
      <c r="D358" s="409"/>
      <c r="E358" s="401"/>
      <c r="F358" s="411"/>
      <c r="G358" s="402">
        <f t="shared" si="23"/>
        <v>0</v>
      </c>
    </row>
    <row r="359" spans="1:7" s="160" customFormat="1" x14ac:dyDescent="0.35">
      <c r="A359" s="398"/>
      <c r="B359" s="399"/>
      <c r="C359" s="400"/>
      <c r="D359" s="409"/>
      <c r="E359" s="401"/>
      <c r="F359" s="411"/>
      <c r="G359" s="402">
        <f t="shared" si="23"/>
        <v>0</v>
      </c>
    </row>
    <row r="360" spans="1:7" s="160" customFormat="1" x14ac:dyDescent="0.35">
      <c r="A360" s="398"/>
      <c r="B360" s="399"/>
      <c r="C360" s="400"/>
      <c r="D360" s="409"/>
      <c r="E360" s="401"/>
      <c r="F360" s="411"/>
      <c r="G360" s="402">
        <f t="shared" si="23"/>
        <v>0</v>
      </c>
    </row>
    <row r="361" spans="1:7" s="160" customFormat="1" x14ac:dyDescent="0.35">
      <c r="A361" s="398"/>
      <c r="B361" s="399"/>
      <c r="C361" s="400"/>
      <c r="D361" s="409"/>
      <c r="E361" s="401"/>
      <c r="F361" s="411"/>
      <c r="G361" s="402">
        <f t="shared" si="23"/>
        <v>0</v>
      </c>
    </row>
    <row r="362" spans="1:7" s="160" customFormat="1" x14ac:dyDescent="0.35">
      <c r="A362" s="398"/>
      <c r="B362" s="399"/>
      <c r="C362" s="400"/>
      <c r="D362" s="409"/>
      <c r="E362" s="401"/>
      <c r="F362" s="411"/>
      <c r="G362" s="402">
        <f t="shared" si="23"/>
        <v>0</v>
      </c>
    </row>
    <row r="363" spans="1:7" s="160" customFormat="1" x14ac:dyDescent="0.35">
      <c r="A363" s="398"/>
      <c r="B363" s="399"/>
      <c r="C363" s="400"/>
      <c r="D363" s="409"/>
      <c r="E363" s="401"/>
      <c r="F363" s="411"/>
      <c r="G363" s="402">
        <f t="shared" si="23"/>
        <v>0</v>
      </c>
    </row>
    <row r="364" spans="1:7" s="160" customFormat="1" x14ac:dyDescent="0.35">
      <c r="A364" s="398"/>
      <c r="B364" s="399"/>
      <c r="C364" s="400"/>
      <c r="D364" s="409"/>
      <c r="E364" s="401"/>
      <c r="F364" s="411"/>
      <c r="G364" s="402">
        <f t="shared" si="23"/>
        <v>0</v>
      </c>
    </row>
    <row r="365" spans="1:7" s="160" customFormat="1" x14ac:dyDescent="0.35">
      <c r="A365" s="398"/>
      <c r="B365" s="399"/>
      <c r="C365" s="400"/>
      <c r="D365" s="409"/>
      <c r="E365" s="401"/>
      <c r="F365" s="411"/>
      <c r="G365" s="402">
        <f t="shared" si="23"/>
        <v>0</v>
      </c>
    </row>
    <row r="366" spans="1:7" s="160" customFormat="1" x14ac:dyDescent="0.35">
      <c r="A366" s="398"/>
      <c r="B366" s="399"/>
      <c r="C366" s="400"/>
      <c r="D366" s="409"/>
      <c r="E366" s="401"/>
      <c r="F366" s="411"/>
      <c r="G366" s="402">
        <f t="shared" si="23"/>
        <v>0</v>
      </c>
    </row>
    <row r="367" spans="1:7" s="160" customFormat="1" x14ac:dyDescent="0.35">
      <c r="A367" s="398"/>
      <c r="B367" s="399"/>
      <c r="C367" s="400"/>
      <c r="D367" s="409"/>
      <c r="E367" s="401"/>
      <c r="F367" s="411"/>
      <c r="G367" s="402">
        <f t="shared" si="23"/>
        <v>0</v>
      </c>
    </row>
    <row r="368" spans="1:7" s="160" customFormat="1" x14ac:dyDescent="0.35">
      <c r="A368" s="398"/>
      <c r="B368" s="399"/>
      <c r="C368" s="400"/>
      <c r="D368" s="409"/>
      <c r="E368" s="401"/>
      <c r="F368" s="411"/>
      <c r="G368" s="402">
        <f t="shared" si="23"/>
        <v>0</v>
      </c>
    </row>
    <row r="369" spans="1:7" s="160" customFormat="1" x14ac:dyDescent="0.35">
      <c r="A369" s="398"/>
      <c r="B369" s="399"/>
      <c r="C369" s="400"/>
      <c r="D369" s="409"/>
      <c r="E369" s="401"/>
      <c r="F369" s="411"/>
      <c r="G369" s="402"/>
    </row>
    <row r="370" spans="1:7" s="160" customFormat="1" ht="24" thickBot="1" x14ac:dyDescent="0.4">
      <c r="A370" s="398"/>
      <c r="B370" s="399"/>
      <c r="C370" s="400"/>
      <c r="D370" s="409"/>
      <c r="E370" s="401"/>
      <c r="F370" s="411"/>
      <c r="G370" s="402">
        <f t="shared" si="23"/>
        <v>0</v>
      </c>
    </row>
    <row r="371" spans="1:7" s="160" customFormat="1" ht="24" thickBot="1" x14ac:dyDescent="0.4">
      <c r="A371" s="398"/>
      <c r="B371" s="399"/>
      <c r="C371" s="404" t="s">
        <v>760</v>
      </c>
      <c r="D371" s="409"/>
      <c r="E371" s="401"/>
      <c r="F371" s="411"/>
      <c r="G371" s="405">
        <f>SUM(G336:G370)</f>
        <v>0</v>
      </c>
    </row>
    <row r="372" spans="1:7" s="160" customFormat="1" x14ac:dyDescent="0.35">
      <c r="A372" s="398"/>
      <c r="B372" s="399"/>
      <c r="C372" s="400"/>
      <c r="D372" s="409"/>
      <c r="E372" s="401"/>
      <c r="F372" s="411"/>
      <c r="G372" s="402">
        <f t="shared" si="23"/>
        <v>0</v>
      </c>
    </row>
    <row r="373" spans="1:7" s="160" customFormat="1" x14ac:dyDescent="0.35">
      <c r="A373" s="398"/>
      <c r="B373" s="399"/>
      <c r="C373" s="400"/>
      <c r="D373" s="409"/>
      <c r="E373" s="401"/>
      <c r="F373" s="411"/>
      <c r="G373" s="402">
        <f t="shared" si="23"/>
        <v>0</v>
      </c>
    </row>
    <row r="374" spans="1:7" s="160" customFormat="1" x14ac:dyDescent="0.35">
      <c r="A374" s="398"/>
      <c r="B374" s="399"/>
      <c r="C374" s="400"/>
      <c r="D374" s="409"/>
      <c r="E374" s="401"/>
      <c r="F374" s="411"/>
      <c r="G374" s="402">
        <f t="shared" si="23"/>
        <v>0</v>
      </c>
    </row>
    <row r="375" spans="1:7" s="160" customFormat="1" x14ac:dyDescent="0.35">
      <c r="A375" s="398"/>
      <c r="B375" s="399"/>
      <c r="C375" s="400"/>
      <c r="D375" s="409"/>
      <c r="E375" s="401"/>
      <c r="F375" s="411"/>
      <c r="G375" s="402">
        <f t="shared" si="23"/>
        <v>0</v>
      </c>
    </row>
    <row r="376" spans="1:7" s="160" customFormat="1" x14ac:dyDescent="0.35">
      <c r="A376" s="398"/>
      <c r="B376" s="399"/>
      <c r="C376" s="400"/>
      <c r="D376" s="409"/>
      <c r="E376" s="401"/>
      <c r="F376" s="411"/>
      <c r="G376" s="402">
        <f t="shared" si="23"/>
        <v>0</v>
      </c>
    </row>
    <row r="377" spans="1:7" s="160" customFormat="1" x14ac:dyDescent="0.35">
      <c r="A377" s="398"/>
      <c r="B377" s="399"/>
      <c r="C377" s="400"/>
      <c r="D377" s="409"/>
      <c r="E377" s="401"/>
      <c r="F377" s="411"/>
      <c r="G377" s="402">
        <f t="shared" si="23"/>
        <v>0</v>
      </c>
    </row>
    <row r="378" spans="1:7" s="160" customFormat="1" ht="24" thickBot="1" x14ac:dyDescent="0.4">
      <c r="A378" s="398"/>
      <c r="B378" s="399"/>
      <c r="C378" s="400"/>
      <c r="D378" s="409"/>
      <c r="E378" s="401"/>
      <c r="F378" s="411"/>
      <c r="G378" s="402">
        <f t="shared" si="23"/>
        <v>0</v>
      </c>
    </row>
    <row r="379" spans="1:7" ht="18.75" customHeight="1" x14ac:dyDescent="0.35">
      <c r="A379" s="383"/>
      <c r="B379" s="384"/>
      <c r="C379" s="385"/>
      <c r="D379" s="386"/>
      <c r="E379" s="387"/>
      <c r="F379" s="410"/>
      <c r="G379" s="387"/>
    </row>
    <row r="380" spans="1:7" s="160" customFormat="1" x14ac:dyDescent="0.35">
      <c r="A380" s="388"/>
      <c r="B380" s="389"/>
      <c r="C380" s="390"/>
      <c r="D380" s="391"/>
      <c r="E380" s="391"/>
      <c r="F380" s="393" t="s">
        <v>2</v>
      </c>
      <c r="G380" s="393"/>
    </row>
    <row r="381" spans="1:7" s="160" customFormat="1" ht="24" thickBot="1" x14ac:dyDescent="0.4">
      <c r="A381" s="394"/>
      <c r="B381" s="395"/>
      <c r="C381" s="396" t="s">
        <v>753</v>
      </c>
      <c r="D381" s="397" t="s">
        <v>3</v>
      </c>
      <c r="E381" s="397" t="s">
        <v>1</v>
      </c>
      <c r="F381" s="397" t="s">
        <v>4</v>
      </c>
      <c r="G381" s="397" t="s">
        <v>5</v>
      </c>
    </row>
    <row r="382" spans="1:7" s="160" customFormat="1" ht="18" customHeight="1" x14ac:dyDescent="0.35">
      <c r="A382" s="398"/>
      <c r="B382" s="399"/>
      <c r="C382" s="400"/>
      <c r="D382" s="409"/>
      <c r="E382" s="401"/>
      <c r="F382" s="411"/>
      <c r="G382" s="402">
        <f t="shared" ref="G382:G383" si="28">ROUND(D382*F382,2)</f>
        <v>0</v>
      </c>
    </row>
    <row r="383" spans="1:7" s="160" customFormat="1" ht="46.5" x14ac:dyDescent="0.35">
      <c r="A383" s="398"/>
      <c r="B383" s="399"/>
      <c r="C383" s="412" t="s">
        <v>885</v>
      </c>
      <c r="D383" s="409"/>
      <c r="E383" s="401"/>
      <c r="F383" s="411"/>
      <c r="G383" s="402">
        <f t="shared" si="28"/>
        <v>0</v>
      </c>
    </row>
    <row r="384" spans="1:7" s="160" customFormat="1" x14ac:dyDescent="0.35">
      <c r="A384" s="398"/>
      <c r="B384" s="399"/>
      <c r="C384" s="400"/>
      <c r="D384" s="409"/>
      <c r="E384" s="401"/>
      <c r="F384" s="411"/>
      <c r="G384" s="402">
        <f t="shared" si="23"/>
        <v>0</v>
      </c>
    </row>
    <row r="385" spans="1:7" s="160" customFormat="1" ht="93" x14ac:dyDescent="0.35">
      <c r="A385" s="398"/>
      <c r="B385" s="399"/>
      <c r="C385" s="400" t="s">
        <v>829</v>
      </c>
      <c r="D385" s="409">
        <v>54</v>
      </c>
      <c r="E385" s="401" t="s">
        <v>772</v>
      </c>
      <c r="F385" s="411"/>
      <c r="G385" s="402">
        <f t="shared" ref="G385:G403" si="29">D385*F385</f>
        <v>0</v>
      </c>
    </row>
    <row r="386" spans="1:7" s="160" customFormat="1" x14ac:dyDescent="0.35">
      <c r="A386" s="398"/>
      <c r="B386" s="399"/>
      <c r="C386" s="400"/>
      <c r="D386" s="409"/>
      <c r="E386" s="401"/>
      <c r="F386" s="411"/>
      <c r="G386" s="402">
        <f t="shared" si="29"/>
        <v>0</v>
      </c>
    </row>
    <row r="387" spans="1:7" s="160" customFormat="1" ht="116.25" x14ac:dyDescent="0.35">
      <c r="A387" s="398"/>
      <c r="B387" s="399"/>
      <c r="C387" s="435" t="s">
        <v>831</v>
      </c>
      <c r="D387" s="442">
        <v>282</v>
      </c>
      <c r="E387" s="440" t="s">
        <v>772</v>
      </c>
      <c r="F387" s="438"/>
      <c r="G387" s="439">
        <f t="shared" si="29"/>
        <v>0</v>
      </c>
    </row>
    <row r="388" spans="1:7" s="160" customFormat="1" x14ac:dyDescent="0.35">
      <c r="A388" s="398"/>
      <c r="B388" s="399"/>
      <c r="C388" s="400"/>
      <c r="D388" s="409"/>
      <c r="E388" s="401"/>
      <c r="F388" s="411"/>
      <c r="G388" s="402">
        <f t="shared" si="29"/>
        <v>0</v>
      </c>
    </row>
    <row r="389" spans="1:7" s="160" customFormat="1" ht="93" x14ac:dyDescent="0.35">
      <c r="A389" s="398"/>
      <c r="B389" s="399"/>
      <c r="C389" s="400" t="s">
        <v>828</v>
      </c>
      <c r="D389" s="409">
        <v>20</v>
      </c>
      <c r="E389" s="401" t="s">
        <v>26</v>
      </c>
      <c r="F389" s="411"/>
      <c r="G389" s="402">
        <f t="shared" si="29"/>
        <v>0</v>
      </c>
    </row>
    <row r="390" spans="1:7" s="160" customFormat="1" x14ac:dyDescent="0.35">
      <c r="A390" s="398"/>
      <c r="B390" s="399"/>
      <c r="C390" s="400"/>
      <c r="D390" s="409"/>
      <c r="E390" s="401"/>
      <c r="F390" s="411"/>
      <c r="G390" s="402">
        <f t="shared" si="29"/>
        <v>0</v>
      </c>
    </row>
    <row r="391" spans="1:7" s="160" customFormat="1" ht="69.75" x14ac:dyDescent="0.35">
      <c r="A391" s="398"/>
      <c r="B391" s="399"/>
      <c r="C391" s="435" t="s">
        <v>827</v>
      </c>
      <c r="D391" s="442">
        <v>164</v>
      </c>
      <c r="E391" s="440" t="s">
        <v>26</v>
      </c>
      <c r="F391" s="438"/>
      <c r="G391" s="439">
        <f t="shared" si="29"/>
        <v>0</v>
      </c>
    </row>
    <row r="392" spans="1:7" s="160" customFormat="1" x14ac:dyDescent="0.35">
      <c r="A392" s="398"/>
      <c r="B392" s="399"/>
      <c r="C392" s="435"/>
      <c r="D392" s="436"/>
      <c r="E392" s="440"/>
      <c r="F392" s="438"/>
      <c r="G392" s="439">
        <f t="shared" si="29"/>
        <v>0</v>
      </c>
    </row>
    <row r="393" spans="1:7" s="160" customFormat="1" x14ac:dyDescent="0.35">
      <c r="A393" s="398"/>
      <c r="B393" s="399"/>
      <c r="C393" s="435" t="s">
        <v>826</v>
      </c>
      <c r="D393" s="442">
        <v>12</v>
      </c>
      <c r="E393" s="440" t="s">
        <v>761</v>
      </c>
      <c r="F393" s="438"/>
      <c r="G393" s="439">
        <f t="shared" si="29"/>
        <v>0</v>
      </c>
    </row>
    <row r="394" spans="1:7" s="160" customFormat="1" x14ac:dyDescent="0.35">
      <c r="A394" s="398"/>
      <c r="B394" s="399"/>
      <c r="C394" s="400"/>
      <c r="D394" s="409"/>
      <c r="E394" s="401"/>
      <c r="F394" s="411"/>
      <c r="G394" s="402">
        <f t="shared" si="29"/>
        <v>0</v>
      </c>
    </row>
    <row r="395" spans="1:7" s="160" customFormat="1" ht="46.5" x14ac:dyDescent="0.35">
      <c r="A395" s="398"/>
      <c r="B395" s="399"/>
      <c r="C395" s="435" t="s">
        <v>846</v>
      </c>
      <c r="D395" s="442">
        <v>42</v>
      </c>
      <c r="E395" s="440" t="s">
        <v>777</v>
      </c>
      <c r="F395" s="438"/>
      <c r="G395" s="439">
        <f t="shared" si="29"/>
        <v>0</v>
      </c>
    </row>
    <row r="396" spans="1:7" s="160" customFormat="1" x14ac:dyDescent="0.35">
      <c r="A396" s="398"/>
      <c r="B396" s="399"/>
      <c r="C396" s="435"/>
      <c r="D396" s="436"/>
      <c r="E396" s="440"/>
      <c r="F396" s="438"/>
      <c r="G396" s="439">
        <f t="shared" si="29"/>
        <v>0</v>
      </c>
    </row>
    <row r="397" spans="1:7" s="160" customFormat="1" ht="46.5" x14ac:dyDescent="0.35">
      <c r="A397" s="398"/>
      <c r="B397" s="399"/>
      <c r="C397" s="435" t="s">
        <v>847</v>
      </c>
      <c r="D397" s="442">
        <v>6</v>
      </c>
      <c r="E397" s="440" t="s">
        <v>824</v>
      </c>
      <c r="F397" s="438"/>
      <c r="G397" s="439">
        <f t="shared" si="29"/>
        <v>0</v>
      </c>
    </row>
    <row r="398" spans="1:7" s="160" customFormat="1" x14ac:dyDescent="0.35">
      <c r="A398" s="398"/>
      <c r="B398" s="399"/>
      <c r="C398" s="400"/>
      <c r="D398" s="409"/>
      <c r="E398" s="401"/>
      <c r="F398" s="411"/>
      <c r="G398" s="402">
        <f t="shared" si="29"/>
        <v>0</v>
      </c>
    </row>
    <row r="399" spans="1:7" s="160" customFormat="1" ht="93" x14ac:dyDescent="0.35">
      <c r="A399" s="398"/>
      <c r="B399" s="399"/>
      <c r="C399" s="400" t="s">
        <v>888</v>
      </c>
      <c r="D399" s="409">
        <v>44</v>
      </c>
      <c r="E399" s="401" t="s">
        <v>26</v>
      </c>
      <c r="F399" s="411"/>
      <c r="G399" s="402">
        <f t="shared" si="29"/>
        <v>0</v>
      </c>
    </row>
    <row r="400" spans="1:7" s="160" customFormat="1" x14ac:dyDescent="0.35">
      <c r="A400" s="398"/>
      <c r="B400" s="399"/>
      <c r="C400" s="400"/>
      <c r="D400" s="409"/>
      <c r="E400" s="401"/>
      <c r="F400" s="411"/>
      <c r="G400" s="402">
        <f t="shared" si="29"/>
        <v>0</v>
      </c>
    </row>
    <row r="401" spans="1:7" s="160" customFormat="1" ht="46.5" x14ac:dyDescent="0.35">
      <c r="A401" s="398"/>
      <c r="B401" s="399"/>
      <c r="C401" s="400" t="s">
        <v>889</v>
      </c>
      <c r="D401" s="409">
        <v>6</v>
      </c>
      <c r="E401" s="401" t="s">
        <v>761</v>
      </c>
      <c r="F401" s="411"/>
      <c r="G401" s="402">
        <f t="shared" si="29"/>
        <v>0</v>
      </c>
    </row>
    <row r="402" spans="1:7" s="160" customFormat="1" x14ac:dyDescent="0.35">
      <c r="A402" s="398"/>
      <c r="B402" s="399"/>
      <c r="C402" s="400"/>
      <c r="D402" s="409"/>
      <c r="E402" s="401"/>
      <c r="F402" s="411"/>
      <c r="G402" s="402">
        <f t="shared" si="29"/>
        <v>0</v>
      </c>
    </row>
    <row r="403" spans="1:7" s="160" customFormat="1" ht="46.5" x14ac:dyDescent="0.35">
      <c r="A403" s="398"/>
      <c r="B403" s="399"/>
      <c r="C403" s="400" t="s">
        <v>886</v>
      </c>
      <c r="D403" s="409">
        <v>36</v>
      </c>
      <c r="E403" s="401" t="s">
        <v>26</v>
      </c>
      <c r="F403" s="411"/>
      <c r="G403" s="402">
        <f t="shared" si="29"/>
        <v>0</v>
      </c>
    </row>
    <row r="404" spans="1:7" s="160" customFormat="1" x14ac:dyDescent="0.35">
      <c r="A404" s="398"/>
      <c r="B404" s="399"/>
      <c r="C404" s="400"/>
      <c r="D404" s="409"/>
      <c r="E404" s="401"/>
      <c r="F404" s="411"/>
      <c r="G404" s="402">
        <f t="shared" ref="G404:G410" si="30">ROUND(D404*F404,2)</f>
        <v>0</v>
      </c>
    </row>
    <row r="405" spans="1:7" s="160" customFormat="1" ht="46.5" x14ac:dyDescent="0.35">
      <c r="A405" s="398"/>
      <c r="B405" s="399"/>
      <c r="C405" s="400" t="s">
        <v>887</v>
      </c>
      <c r="D405" s="409">
        <v>36</v>
      </c>
      <c r="E405" s="401" t="s">
        <v>26</v>
      </c>
      <c r="F405" s="411"/>
      <c r="G405" s="402">
        <f t="shared" si="30"/>
        <v>0</v>
      </c>
    </row>
    <row r="406" spans="1:7" s="160" customFormat="1" x14ac:dyDescent="0.35">
      <c r="A406" s="398"/>
      <c r="B406" s="399"/>
      <c r="C406" s="400"/>
      <c r="D406" s="409"/>
      <c r="E406" s="401"/>
      <c r="F406" s="411"/>
      <c r="G406" s="402">
        <f t="shared" si="30"/>
        <v>0</v>
      </c>
    </row>
    <row r="407" spans="1:7" s="160" customFormat="1" x14ac:dyDescent="0.35">
      <c r="A407" s="398"/>
      <c r="B407" s="399"/>
      <c r="C407" s="400" t="s">
        <v>830</v>
      </c>
      <c r="D407" s="446">
        <v>1</v>
      </c>
      <c r="E407" s="401" t="s">
        <v>819</v>
      </c>
      <c r="F407" s="411"/>
      <c r="G407" s="402">
        <f t="shared" si="30"/>
        <v>0</v>
      </c>
    </row>
    <row r="408" spans="1:7" s="160" customFormat="1" ht="24" thickBot="1" x14ac:dyDescent="0.4">
      <c r="A408" s="398"/>
      <c r="B408" s="399"/>
      <c r="C408" s="400"/>
      <c r="D408" s="409"/>
      <c r="E408" s="401"/>
      <c r="F408" s="411"/>
      <c r="G408" s="402">
        <f t="shared" si="30"/>
        <v>0</v>
      </c>
    </row>
    <row r="409" spans="1:7" s="160" customFormat="1" ht="24" thickBot="1" x14ac:dyDescent="0.4">
      <c r="A409" s="398"/>
      <c r="B409" s="399"/>
      <c r="C409" s="404" t="s">
        <v>760</v>
      </c>
      <c r="D409" s="409"/>
      <c r="E409" s="401"/>
      <c r="F409" s="411"/>
      <c r="G409" s="405">
        <f>SUM(G384:G408)</f>
        <v>0</v>
      </c>
    </row>
    <row r="410" spans="1:7" s="160" customFormat="1" ht="24" thickBot="1" x14ac:dyDescent="0.4">
      <c r="A410" s="398"/>
      <c r="B410" s="399"/>
      <c r="C410" s="400"/>
      <c r="D410" s="409"/>
      <c r="E410" s="401"/>
      <c r="F410" s="411"/>
      <c r="G410" s="402">
        <f t="shared" si="30"/>
        <v>0</v>
      </c>
    </row>
    <row r="411" spans="1:7" ht="18.75" customHeight="1" x14ac:dyDescent="0.35">
      <c r="A411" s="383"/>
      <c r="B411" s="384"/>
      <c r="C411" s="385"/>
      <c r="D411" s="386"/>
      <c r="E411" s="387"/>
      <c r="F411" s="410"/>
      <c r="G411" s="387"/>
    </row>
    <row r="412" spans="1:7" s="160" customFormat="1" x14ac:dyDescent="0.35">
      <c r="A412" s="388"/>
      <c r="B412" s="389"/>
      <c r="C412" s="390"/>
      <c r="D412" s="391"/>
      <c r="E412" s="391"/>
      <c r="F412" s="393" t="s">
        <v>2</v>
      </c>
      <c r="G412" s="393"/>
    </row>
    <row r="413" spans="1:7" s="160" customFormat="1" ht="24" thickBot="1" x14ac:dyDescent="0.4">
      <c r="A413" s="394"/>
      <c r="B413" s="395"/>
      <c r="C413" s="396" t="s">
        <v>753</v>
      </c>
      <c r="D413" s="397" t="s">
        <v>3</v>
      </c>
      <c r="E413" s="397" t="s">
        <v>1</v>
      </c>
      <c r="F413" s="397" t="s">
        <v>4</v>
      </c>
      <c r="G413" s="397" t="s">
        <v>5</v>
      </c>
    </row>
    <row r="414" spans="1:7" s="160" customFormat="1" ht="18" customHeight="1" x14ac:dyDescent="0.35">
      <c r="A414" s="398"/>
      <c r="B414" s="399"/>
      <c r="C414" s="400"/>
      <c r="D414" s="409"/>
      <c r="E414" s="401"/>
      <c r="F414" s="411"/>
      <c r="G414" s="402">
        <f t="shared" ref="G414:G440" si="31">ROUND(D414*F414,2)</f>
        <v>0</v>
      </c>
    </row>
    <row r="415" spans="1:7" s="160" customFormat="1" x14ac:dyDescent="0.35">
      <c r="A415" s="398"/>
      <c r="B415" s="399"/>
      <c r="C415" s="412" t="s">
        <v>835</v>
      </c>
      <c r="D415" s="409"/>
      <c r="E415" s="401"/>
      <c r="F415" s="411"/>
      <c r="G415" s="402">
        <f t="shared" si="31"/>
        <v>0</v>
      </c>
    </row>
    <row r="416" spans="1:7" s="160" customFormat="1" x14ac:dyDescent="0.35">
      <c r="A416" s="398"/>
      <c r="B416" s="399"/>
      <c r="C416" s="400"/>
      <c r="D416" s="409"/>
      <c r="E416" s="401"/>
      <c r="F416" s="411"/>
      <c r="G416" s="402">
        <f t="shared" si="31"/>
        <v>0</v>
      </c>
    </row>
    <row r="417" spans="1:7" s="160" customFormat="1" ht="46.5" x14ac:dyDescent="0.35">
      <c r="A417" s="398"/>
      <c r="B417" s="399"/>
      <c r="C417" s="400" t="s">
        <v>833</v>
      </c>
      <c r="D417" s="409">
        <v>130</v>
      </c>
      <c r="E417" s="401" t="s">
        <v>772</v>
      </c>
      <c r="F417" s="411"/>
      <c r="G417" s="402">
        <f t="shared" ref="G417:G432" si="32">D417*F417</f>
        <v>0</v>
      </c>
    </row>
    <row r="418" spans="1:7" s="160" customFormat="1" x14ac:dyDescent="0.35">
      <c r="A418" s="398"/>
      <c r="B418" s="399"/>
      <c r="C418" s="400"/>
      <c r="D418" s="409"/>
      <c r="E418" s="401"/>
      <c r="F418" s="411"/>
      <c r="G418" s="402">
        <f t="shared" si="32"/>
        <v>0</v>
      </c>
    </row>
    <row r="419" spans="1:7" s="160" customFormat="1" ht="46.5" x14ac:dyDescent="0.35">
      <c r="A419" s="398"/>
      <c r="B419" s="399"/>
      <c r="C419" s="400" t="s">
        <v>894</v>
      </c>
      <c r="D419" s="409">
        <v>130</v>
      </c>
      <c r="E419" s="401" t="s">
        <v>772</v>
      </c>
      <c r="F419" s="411"/>
      <c r="G419" s="402">
        <f t="shared" si="32"/>
        <v>0</v>
      </c>
    </row>
    <row r="420" spans="1:7" s="160" customFormat="1" x14ac:dyDescent="0.35">
      <c r="A420" s="398"/>
      <c r="B420" s="399"/>
      <c r="C420" s="400"/>
      <c r="D420" s="409"/>
      <c r="E420" s="401"/>
      <c r="F420" s="411"/>
      <c r="G420" s="402">
        <f t="shared" si="32"/>
        <v>0</v>
      </c>
    </row>
    <row r="421" spans="1:7" s="160" customFormat="1" ht="69.75" x14ac:dyDescent="0.35">
      <c r="A421" s="398"/>
      <c r="B421" s="399"/>
      <c r="C421" s="447" t="s">
        <v>895</v>
      </c>
      <c r="D421" s="442">
        <v>94</v>
      </c>
      <c r="E421" s="443" t="s">
        <v>26</v>
      </c>
      <c r="F421" s="444"/>
      <c r="G421" s="445">
        <f t="shared" si="32"/>
        <v>0</v>
      </c>
    </row>
    <row r="422" spans="1:7" s="160" customFormat="1" x14ac:dyDescent="0.35">
      <c r="A422" s="398"/>
      <c r="B422" s="399"/>
      <c r="C422" s="400"/>
      <c r="D422" s="409"/>
      <c r="E422" s="401"/>
      <c r="F422" s="411"/>
      <c r="G422" s="402">
        <f t="shared" si="32"/>
        <v>0</v>
      </c>
    </row>
    <row r="423" spans="1:7" s="160" customFormat="1" ht="46.5" x14ac:dyDescent="0.35">
      <c r="A423" s="398"/>
      <c r="B423" s="399"/>
      <c r="C423" s="400" t="s">
        <v>896</v>
      </c>
      <c r="D423" s="409">
        <v>76</v>
      </c>
      <c r="E423" s="401" t="s">
        <v>772</v>
      </c>
      <c r="F423" s="411"/>
      <c r="G423" s="402">
        <f t="shared" si="32"/>
        <v>0</v>
      </c>
    </row>
    <row r="424" spans="1:7" s="160" customFormat="1" x14ac:dyDescent="0.35">
      <c r="A424" s="398"/>
      <c r="B424" s="399"/>
      <c r="C424" s="400"/>
      <c r="D424" s="409"/>
      <c r="E424" s="401"/>
      <c r="F424" s="411"/>
      <c r="G424" s="402">
        <f t="shared" si="32"/>
        <v>0</v>
      </c>
    </row>
    <row r="425" spans="1:7" s="160" customFormat="1" ht="119.25" x14ac:dyDescent="0.35">
      <c r="A425" s="398"/>
      <c r="B425" s="399"/>
      <c r="C425" s="400" t="s">
        <v>942</v>
      </c>
      <c r="D425" s="446">
        <v>70</v>
      </c>
      <c r="E425" s="401" t="s">
        <v>772</v>
      </c>
      <c r="F425" s="411"/>
      <c r="G425" s="402">
        <f t="shared" si="32"/>
        <v>0</v>
      </c>
    </row>
    <row r="426" spans="1:7" s="160" customFormat="1" x14ac:dyDescent="0.35">
      <c r="A426" s="398"/>
      <c r="B426" s="399"/>
      <c r="C426" s="400"/>
      <c r="D426" s="409"/>
      <c r="E426" s="401"/>
      <c r="F426" s="411"/>
      <c r="G426" s="402">
        <f t="shared" si="32"/>
        <v>0</v>
      </c>
    </row>
    <row r="427" spans="1:7" s="160" customFormat="1" ht="119.25" x14ac:dyDescent="0.35">
      <c r="A427" s="398"/>
      <c r="B427" s="399"/>
      <c r="C427" s="400" t="s">
        <v>943</v>
      </c>
      <c r="D427" s="409">
        <v>76</v>
      </c>
      <c r="E427" s="401" t="s">
        <v>772</v>
      </c>
      <c r="F427" s="411"/>
      <c r="G427" s="402">
        <f t="shared" si="32"/>
        <v>0</v>
      </c>
    </row>
    <row r="428" spans="1:7" s="160" customFormat="1" x14ac:dyDescent="0.35">
      <c r="A428" s="398"/>
      <c r="B428" s="399"/>
      <c r="C428" s="400"/>
      <c r="D428" s="409"/>
      <c r="E428" s="401"/>
      <c r="F428" s="411"/>
      <c r="G428" s="402">
        <f t="shared" si="32"/>
        <v>0</v>
      </c>
    </row>
    <row r="429" spans="1:7" s="160" customFormat="1" ht="119.25" x14ac:dyDescent="0.35">
      <c r="A429" s="398"/>
      <c r="B429" s="399"/>
      <c r="C429" s="400" t="s">
        <v>837</v>
      </c>
      <c r="D429" s="446">
        <v>66</v>
      </c>
      <c r="E429" s="401" t="s">
        <v>26</v>
      </c>
      <c r="F429" s="411"/>
      <c r="G429" s="402">
        <f t="shared" si="32"/>
        <v>0</v>
      </c>
    </row>
    <row r="430" spans="1:7" s="160" customFormat="1" x14ac:dyDescent="0.35">
      <c r="A430" s="398"/>
      <c r="B430" s="399"/>
      <c r="C430" s="400"/>
      <c r="D430" s="409"/>
      <c r="E430" s="401"/>
      <c r="F430" s="411"/>
      <c r="G430" s="402">
        <f t="shared" si="32"/>
        <v>0</v>
      </c>
    </row>
    <row r="431" spans="1:7" s="160" customFormat="1" ht="142.5" x14ac:dyDescent="0.35">
      <c r="A431" s="398"/>
      <c r="B431" s="399"/>
      <c r="C431" s="400" t="s">
        <v>944</v>
      </c>
      <c r="D431" s="409">
        <v>274</v>
      </c>
      <c r="E431" s="401" t="s">
        <v>772</v>
      </c>
      <c r="F431" s="411"/>
      <c r="G431" s="402">
        <f t="shared" si="32"/>
        <v>0</v>
      </c>
    </row>
    <row r="432" spans="1:7" s="160" customFormat="1" x14ac:dyDescent="0.35">
      <c r="A432" s="398"/>
      <c r="B432" s="399"/>
      <c r="C432" s="400"/>
      <c r="D432" s="409"/>
      <c r="E432" s="401"/>
      <c r="F432" s="411"/>
      <c r="G432" s="402">
        <f t="shared" si="32"/>
        <v>0</v>
      </c>
    </row>
    <row r="433" spans="1:7" s="160" customFormat="1" x14ac:dyDescent="0.35">
      <c r="A433" s="398"/>
      <c r="B433" s="399"/>
      <c r="C433" s="400"/>
      <c r="D433" s="409"/>
      <c r="E433" s="401"/>
      <c r="F433" s="411"/>
      <c r="G433" s="402">
        <f t="shared" si="31"/>
        <v>0</v>
      </c>
    </row>
    <row r="434" spans="1:7" s="160" customFormat="1" ht="24" thickBot="1" x14ac:dyDescent="0.4">
      <c r="A434" s="398"/>
      <c r="B434" s="399"/>
      <c r="C434" s="400"/>
      <c r="D434" s="409"/>
      <c r="E434" s="401"/>
      <c r="F434" s="411"/>
      <c r="G434" s="402"/>
    </row>
    <row r="435" spans="1:7" s="160" customFormat="1" ht="24" thickBot="1" x14ac:dyDescent="0.4">
      <c r="A435" s="398"/>
      <c r="B435" s="399"/>
      <c r="C435" s="404" t="s">
        <v>760</v>
      </c>
      <c r="D435" s="409"/>
      <c r="E435" s="401"/>
      <c r="F435" s="411"/>
      <c r="G435" s="405">
        <f>SUM(G416:G434)</f>
        <v>0</v>
      </c>
    </row>
    <row r="436" spans="1:7" s="160" customFormat="1" x14ac:dyDescent="0.35">
      <c r="A436" s="398"/>
      <c r="B436" s="399"/>
      <c r="C436" s="400"/>
      <c r="D436" s="409"/>
      <c r="E436" s="401"/>
      <c r="F436" s="411"/>
      <c r="G436" s="402"/>
    </row>
    <row r="437" spans="1:7" s="160" customFormat="1" x14ac:dyDescent="0.35">
      <c r="A437" s="398"/>
      <c r="B437" s="399"/>
      <c r="C437" s="400"/>
      <c r="D437" s="409"/>
      <c r="E437" s="401"/>
      <c r="F437" s="411"/>
      <c r="G437" s="402"/>
    </row>
    <row r="438" spans="1:7" s="160" customFormat="1" x14ac:dyDescent="0.35">
      <c r="A438" s="398"/>
      <c r="B438" s="399"/>
      <c r="C438" s="400"/>
      <c r="D438" s="409"/>
      <c r="E438" s="401"/>
      <c r="F438" s="411"/>
      <c r="G438" s="402"/>
    </row>
    <row r="439" spans="1:7" s="160" customFormat="1" x14ac:dyDescent="0.35">
      <c r="A439" s="398"/>
      <c r="B439" s="399"/>
      <c r="C439" s="400"/>
      <c r="D439" s="409"/>
      <c r="E439" s="401"/>
      <c r="F439" s="411"/>
      <c r="G439" s="402">
        <f t="shared" si="31"/>
        <v>0</v>
      </c>
    </row>
    <row r="440" spans="1:7" s="160" customFormat="1" ht="24" thickBot="1" x14ac:dyDescent="0.4">
      <c r="A440" s="398"/>
      <c r="B440" s="399"/>
      <c r="C440" s="400"/>
      <c r="D440" s="409"/>
      <c r="E440" s="401"/>
      <c r="F440" s="411"/>
      <c r="G440" s="402">
        <f t="shared" si="31"/>
        <v>0</v>
      </c>
    </row>
    <row r="441" spans="1:7" ht="18.75" customHeight="1" x14ac:dyDescent="0.35">
      <c r="A441" s="383"/>
      <c r="B441" s="384"/>
      <c r="C441" s="385"/>
      <c r="D441" s="386"/>
      <c r="E441" s="387"/>
      <c r="F441" s="410"/>
      <c r="G441" s="387"/>
    </row>
    <row r="442" spans="1:7" s="160" customFormat="1" x14ac:dyDescent="0.35">
      <c r="A442" s="388"/>
      <c r="B442" s="389"/>
      <c r="C442" s="390"/>
      <c r="D442" s="391"/>
      <c r="E442" s="391"/>
      <c r="F442" s="393" t="s">
        <v>2</v>
      </c>
      <c r="G442" s="393"/>
    </row>
    <row r="443" spans="1:7" s="160" customFormat="1" ht="24" thickBot="1" x14ac:dyDescent="0.4">
      <c r="A443" s="394"/>
      <c r="B443" s="395"/>
      <c r="C443" s="396" t="s">
        <v>753</v>
      </c>
      <c r="D443" s="397" t="s">
        <v>3</v>
      </c>
      <c r="E443" s="397" t="s">
        <v>1</v>
      </c>
      <c r="F443" s="397" t="s">
        <v>4</v>
      </c>
      <c r="G443" s="397" t="s">
        <v>5</v>
      </c>
    </row>
    <row r="444" spans="1:7" s="160" customFormat="1" ht="18" customHeight="1" x14ac:dyDescent="0.35">
      <c r="A444" s="398"/>
      <c r="B444" s="399"/>
      <c r="C444" s="400"/>
      <c r="D444" s="409"/>
      <c r="E444" s="401"/>
      <c r="F444" s="411"/>
      <c r="G444" s="402">
        <f t="shared" ref="G444:G445" si="33">ROUND(D444*F444,2)</f>
        <v>0</v>
      </c>
    </row>
    <row r="445" spans="1:7" s="160" customFormat="1" x14ac:dyDescent="0.35">
      <c r="A445" s="398"/>
      <c r="B445" s="399"/>
      <c r="C445" s="412" t="s">
        <v>836</v>
      </c>
      <c r="D445" s="409"/>
      <c r="E445" s="401"/>
      <c r="F445" s="411"/>
      <c r="G445" s="402">
        <f t="shared" si="33"/>
        <v>0</v>
      </c>
    </row>
    <row r="446" spans="1:7" s="160" customFormat="1" x14ac:dyDescent="0.35">
      <c r="A446" s="398"/>
      <c r="B446" s="399"/>
      <c r="C446" s="400"/>
      <c r="D446" s="409"/>
      <c r="E446" s="401"/>
      <c r="F446" s="411"/>
      <c r="G446" s="402">
        <f t="shared" ref="G446:G460" si="34">D446*F446</f>
        <v>0</v>
      </c>
    </row>
    <row r="447" spans="1:7" s="160" customFormat="1" ht="119.25" x14ac:dyDescent="0.35">
      <c r="A447" s="398"/>
      <c r="B447" s="399"/>
      <c r="C447" s="400" t="s">
        <v>945</v>
      </c>
      <c r="D447" s="409">
        <v>28</v>
      </c>
      <c r="E447" s="401" t="s">
        <v>26</v>
      </c>
      <c r="F447" s="411"/>
      <c r="G447" s="402">
        <f t="shared" si="34"/>
        <v>0</v>
      </c>
    </row>
    <row r="448" spans="1:7" s="160" customFormat="1" x14ac:dyDescent="0.35">
      <c r="A448" s="398"/>
      <c r="B448" s="399"/>
      <c r="C448" s="400"/>
      <c r="D448" s="409"/>
      <c r="E448" s="401"/>
      <c r="F448" s="411"/>
      <c r="G448" s="402">
        <f t="shared" si="34"/>
        <v>0</v>
      </c>
    </row>
    <row r="449" spans="1:7" s="160" customFormat="1" ht="119.25" x14ac:dyDescent="0.35">
      <c r="A449" s="398"/>
      <c r="B449" s="399"/>
      <c r="C449" s="400" t="s">
        <v>946</v>
      </c>
      <c r="D449" s="409">
        <v>36</v>
      </c>
      <c r="E449" s="401" t="s">
        <v>26</v>
      </c>
      <c r="F449" s="411"/>
      <c r="G449" s="402">
        <f t="shared" si="34"/>
        <v>0</v>
      </c>
    </row>
    <row r="450" spans="1:7" s="160" customFormat="1" x14ac:dyDescent="0.35">
      <c r="A450" s="398"/>
      <c r="B450" s="399"/>
      <c r="C450" s="400"/>
      <c r="D450" s="409"/>
      <c r="E450" s="401"/>
      <c r="F450" s="411"/>
      <c r="G450" s="402">
        <f t="shared" si="34"/>
        <v>0</v>
      </c>
    </row>
    <row r="451" spans="1:7" s="160" customFormat="1" ht="119.25" x14ac:dyDescent="0.35">
      <c r="A451" s="398"/>
      <c r="B451" s="399"/>
      <c r="C451" s="400" t="s">
        <v>947</v>
      </c>
      <c r="D451" s="409">
        <v>12</v>
      </c>
      <c r="E451" s="401" t="s">
        <v>26</v>
      </c>
      <c r="F451" s="411"/>
      <c r="G451" s="402">
        <f t="shared" si="34"/>
        <v>0</v>
      </c>
    </row>
    <row r="452" spans="1:7" s="160" customFormat="1" x14ac:dyDescent="0.35">
      <c r="A452" s="398"/>
      <c r="B452" s="399"/>
      <c r="C452" s="400"/>
      <c r="D452" s="409"/>
      <c r="E452" s="401"/>
      <c r="F452" s="411"/>
      <c r="G452" s="402">
        <f t="shared" si="34"/>
        <v>0</v>
      </c>
    </row>
    <row r="453" spans="1:7" s="160" customFormat="1" ht="119.25" x14ac:dyDescent="0.35">
      <c r="A453" s="398"/>
      <c r="B453" s="399"/>
      <c r="C453" s="400" t="s">
        <v>948</v>
      </c>
      <c r="D453" s="409">
        <v>60</v>
      </c>
      <c r="E453" s="401" t="s">
        <v>26</v>
      </c>
      <c r="F453" s="411"/>
      <c r="G453" s="402">
        <f t="shared" si="34"/>
        <v>0</v>
      </c>
    </row>
    <row r="454" spans="1:7" s="160" customFormat="1" x14ac:dyDescent="0.35">
      <c r="A454" s="398"/>
      <c r="B454" s="399"/>
      <c r="C454" s="400"/>
      <c r="D454" s="409"/>
      <c r="E454" s="401"/>
      <c r="F454" s="411"/>
      <c r="G454" s="402">
        <f t="shared" si="34"/>
        <v>0</v>
      </c>
    </row>
    <row r="455" spans="1:7" s="160" customFormat="1" ht="119.25" x14ac:dyDescent="0.35">
      <c r="A455" s="398"/>
      <c r="B455" s="399"/>
      <c r="C455" s="400" t="s">
        <v>897</v>
      </c>
      <c r="D455" s="409">
        <v>42</v>
      </c>
      <c r="E455" s="401" t="s">
        <v>26</v>
      </c>
      <c r="F455" s="411"/>
      <c r="G455" s="402">
        <f t="shared" si="34"/>
        <v>0</v>
      </c>
    </row>
    <row r="456" spans="1:7" s="160" customFormat="1" x14ac:dyDescent="0.35">
      <c r="A456" s="398"/>
      <c r="B456" s="399"/>
      <c r="C456" s="400"/>
      <c r="D456" s="409"/>
      <c r="E456" s="401"/>
      <c r="F456" s="411"/>
      <c r="G456" s="402">
        <f t="shared" si="34"/>
        <v>0</v>
      </c>
    </row>
    <row r="457" spans="1:7" s="160" customFormat="1" ht="96" x14ac:dyDescent="0.35">
      <c r="A457" s="398"/>
      <c r="B457" s="399"/>
      <c r="C457" s="400" t="s">
        <v>838</v>
      </c>
      <c r="D457" s="409">
        <v>56</v>
      </c>
      <c r="E457" s="401" t="s">
        <v>26</v>
      </c>
      <c r="F457" s="411"/>
      <c r="G457" s="402">
        <f t="shared" si="34"/>
        <v>0</v>
      </c>
    </row>
    <row r="458" spans="1:7" s="160" customFormat="1" x14ac:dyDescent="0.35">
      <c r="A458" s="398"/>
      <c r="B458" s="399"/>
      <c r="C458" s="400"/>
      <c r="D458" s="409"/>
      <c r="E458" s="401"/>
      <c r="F458" s="411"/>
      <c r="G458" s="402">
        <f t="shared" si="34"/>
        <v>0</v>
      </c>
    </row>
    <row r="459" spans="1:7" s="160" customFormat="1" ht="142.5" x14ac:dyDescent="0.35">
      <c r="A459" s="398"/>
      <c r="B459" s="399"/>
      <c r="C459" s="400" t="s">
        <v>898</v>
      </c>
      <c r="D459" s="409">
        <v>72</v>
      </c>
      <c r="E459" s="401" t="s">
        <v>26</v>
      </c>
      <c r="F459" s="411"/>
      <c r="G459" s="402">
        <f t="shared" si="34"/>
        <v>0</v>
      </c>
    </row>
    <row r="460" spans="1:7" s="160" customFormat="1" ht="24" thickBot="1" x14ac:dyDescent="0.4">
      <c r="A460" s="398"/>
      <c r="B460" s="399"/>
      <c r="C460" s="400"/>
      <c r="D460" s="409"/>
      <c r="E460" s="401"/>
      <c r="F460" s="411"/>
      <c r="G460" s="402">
        <f t="shared" si="34"/>
        <v>0</v>
      </c>
    </row>
    <row r="461" spans="1:7" s="160" customFormat="1" ht="24" thickBot="1" x14ac:dyDescent="0.4">
      <c r="A461" s="398"/>
      <c r="B461" s="399"/>
      <c r="C461" s="404" t="s">
        <v>760</v>
      </c>
      <c r="D461" s="409"/>
      <c r="E461" s="401"/>
      <c r="F461" s="411"/>
      <c r="G461" s="405">
        <f>SUM(G447:G460)</f>
        <v>0</v>
      </c>
    </row>
    <row r="462" spans="1:7" ht="18.75" customHeight="1" x14ac:dyDescent="0.35">
      <c r="A462" s="383"/>
      <c r="B462" s="384"/>
      <c r="C462" s="385"/>
      <c r="D462" s="386"/>
      <c r="E462" s="387"/>
      <c r="F462" s="410"/>
      <c r="G462" s="387"/>
    </row>
    <row r="463" spans="1:7" s="160" customFormat="1" x14ac:dyDescent="0.35">
      <c r="A463" s="388"/>
      <c r="B463" s="389"/>
      <c r="C463" s="390"/>
      <c r="D463" s="391"/>
      <c r="E463" s="391"/>
      <c r="F463" s="393" t="s">
        <v>2</v>
      </c>
      <c r="G463" s="393"/>
    </row>
    <row r="464" spans="1:7" s="160" customFormat="1" ht="24" thickBot="1" x14ac:dyDescent="0.4">
      <c r="A464" s="394"/>
      <c r="B464" s="395"/>
      <c r="C464" s="396" t="s">
        <v>753</v>
      </c>
      <c r="D464" s="397" t="s">
        <v>3</v>
      </c>
      <c r="E464" s="397" t="s">
        <v>1</v>
      </c>
      <c r="F464" s="397" t="s">
        <v>4</v>
      </c>
      <c r="G464" s="397" t="s">
        <v>5</v>
      </c>
    </row>
    <row r="465" spans="1:7" s="160" customFormat="1" ht="18" customHeight="1" x14ac:dyDescent="0.35">
      <c r="A465" s="398"/>
      <c r="B465" s="399"/>
      <c r="C465" s="400"/>
      <c r="D465" s="409"/>
      <c r="E465" s="401"/>
      <c r="F465" s="411"/>
      <c r="G465" s="402">
        <f t="shared" ref="G465:G466" si="35">ROUND(D465*F465,2)</f>
        <v>0</v>
      </c>
    </row>
    <row r="466" spans="1:7" s="160" customFormat="1" x14ac:dyDescent="0.35">
      <c r="A466" s="398"/>
      <c r="B466" s="399"/>
      <c r="C466" s="412" t="s">
        <v>798</v>
      </c>
      <c r="D466" s="409"/>
      <c r="E466" s="401"/>
      <c r="F466" s="411"/>
      <c r="G466" s="402">
        <f t="shared" si="35"/>
        <v>0</v>
      </c>
    </row>
    <row r="467" spans="1:7" s="160" customFormat="1" x14ac:dyDescent="0.35">
      <c r="A467" s="398"/>
      <c r="B467" s="399"/>
      <c r="C467" s="400"/>
      <c r="D467" s="409"/>
      <c r="E467" s="401"/>
      <c r="F467" s="411"/>
      <c r="G467" s="402">
        <f t="shared" ref="G467:G475" si="36">D467*F467</f>
        <v>0</v>
      </c>
    </row>
    <row r="468" spans="1:7" s="160" customFormat="1" ht="139.5" x14ac:dyDescent="0.35">
      <c r="A468" s="398"/>
      <c r="B468" s="399"/>
      <c r="C468" s="400" t="s">
        <v>844</v>
      </c>
      <c r="D468" s="409">
        <v>72</v>
      </c>
      <c r="E468" s="401" t="s">
        <v>26</v>
      </c>
      <c r="F468" s="411"/>
      <c r="G468" s="402">
        <f t="shared" si="36"/>
        <v>0</v>
      </c>
    </row>
    <row r="469" spans="1:7" s="160" customFormat="1" x14ac:dyDescent="0.35">
      <c r="A469" s="398"/>
      <c r="B469" s="399"/>
      <c r="C469" s="400"/>
      <c r="D469" s="409"/>
      <c r="E469" s="401"/>
      <c r="F469" s="411"/>
      <c r="G469" s="402">
        <f t="shared" si="36"/>
        <v>0</v>
      </c>
    </row>
    <row r="470" spans="1:7" s="160" customFormat="1" ht="116.25" x14ac:dyDescent="0.35">
      <c r="A470" s="398"/>
      <c r="B470" s="399"/>
      <c r="C470" s="435" t="s">
        <v>845</v>
      </c>
      <c r="D470" s="442">
        <v>6</v>
      </c>
      <c r="E470" s="440" t="s">
        <v>761</v>
      </c>
      <c r="F470" s="438"/>
      <c r="G470" s="439">
        <f t="shared" si="36"/>
        <v>0</v>
      </c>
    </row>
    <row r="471" spans="1:7" s="160" customFormat="1" x14ac:dyDescent="0.35">
      <c r="A471" s="398"/>
      <c r="B471" s="399"/>
      <c r="C471" s="400"/>
      <c r="D471" s="409"/>
      <c r="E471" s="401"/>
      <c r="F471" s="411"/>
      <c r="G471" s="402">
        <f t="shared" si="36"/>
        <v>0</v>
      </c>
    </row>
    <row r="472" spans="1:7" s="160" customFormat="1" x14ac:dyDescent="0.35">
      <c r="A472" s="398"/>
      <c r="B472" s="399"/>
      <c r="C472" s="400"/>
      <c r="D472" s="409"/>
      <c r="E472" s="401"/>
      <c r="F472" s="411"/>
      <c r="G472" s="402">
        <f t="shared" si="36"/>
        <v>0</v>
      </c>
    </row>
    <row r="473" spans="1:7" s="160" customFormat="1" x14ac:dyDescent="0.35">
      <c r="A473" s="398"/>
      <c r="B473" s="399"/>
      <c r="C473" s="400"/>
      <c r="D473" s="409"/>
      <c r="E473" s="401"/>
      <c r="F473" s="411"/>
      <c r="G473" s="402">
        <f t="shared" si="36"/>
        <v>0</v>
      </c>
    </row>
    <row r="474" spans="1:7" s="160" customFormat="1" x14ac:dyDescent="0.35">
      <c r="A474" s="398"/>
      <c r="B474" s="399"/>
      <c r="C474" s="400"/>
      <c r="D474" s="409"/>
      <c r="E474" s="401"/>
      <c r="F474" s="411"/>
      <c r="G474" s="402">
        <f t="shared" si="36"/>
        <v>0</v>
      </c>
    </row>
    <row r="475" spans="1:7" s="160" customFormat="1" x14ac:dyDescent="0.35">
      <c r="A475" s="398"/>
      <c r="B475" s="399"/>
      <c r="C475" s="400"/>
      <c r="D475" s="409"/>
      <c r="E475" s="401"/>
      <c r="F475" s="411"/>
      <c r="G475" s="402">
        <f t="shared" si="36"/>
        <v>0</v>
      </c>
    </row>
    <row r="476" spans="1:7" s="160" customFormat="1" x14ac:dyDescent="0.35">
      <c r="A476" s="398"/>
      <c r="B476" s="399"/>
      <c r="C476" s="400"/>
      <c r="D476" s="409"/>
      <c r="E476" s="401"/>
      <c r="F476" s="411"/>
      <c r="G476" s="402">
        <f t="shared" ref="G476:G504" si="37">ROUND(D476*F476,2)</f>
        <v>0</v>
      </c>
    </row>
    <row r="477" spans="1:7" s="160" customFormat="1" x14ac:dyDescent="0.35">
      <c r="A477" s="398"/>
      <c r="B477" s="399"/>
      <c r="C477" s="400"/>
      <c r="D477" s="409"/>
      <c r="E477" s="401"/>
      <c r="F477" s="411"/>
      <c r="G477" s="402">
        <f t="shared" si="37"/>
        <v>0</v>
      </c>
    </row>
    <row r="478" spans="1:7" s="160" customFormat="1" x14ac:dyDescent="0.35">
      <c r="A478" s="398"/>
      <c r="B478" s="399"/>
      <c r="C478" s="400"/>
      <c r="D478" s="409"/>
      <c r="E478" s="401"/>
      <c r="F478" s="411"/>
      <c r="G478" s="402">
        <f t="shared" si="37"/>
        <v>0</v>
      </c>
    </row>
    <row r="479" spans="1:7" s="160" customFormat="1" x14ac:dyDescent="0.35">
      <c r="A479" s="398"/>
      <c r="B479" s="399"/>
      <c r="C479" s="400"/>
      <c r="D479" s="409"/>
      <c r="E479" s="401"/>
      <c r="F479" s="411"/>
      <c r="G479" s="402">
        <f t="shared" si="37"/>
        <v>0</v>
      </c>
    </row>
    <row r="480" spans="1:7" s="160" customFormat="1" x14ac:dyDescent="0.35">
      <c r="A480" s="398"/>
      <c r="B480" s="399"/>
      <c r="C480" s="400"/>
      <c r="D480" s="409"/>
      <c r="E480" s="401"/>
      <c r="F480" s="411"/>
      <c r="G480" s="402">
        <f t="shared" si="37"/>
        <v>0</v>
      </c>
    </row>
    <row r="481" spans="1:7" s="160" customFormat="1" x14ac:dyDescent="0.35">
      <c r="A481" s="398"/>
      <c r="B481" s="399"/>
      <c r="C481" s="400"/>
      <c r="D481" s="409"/>
      <c r="E481" s="401"/>
      <c r="F481" s="411"/>
      <c r="G481" s="402">
        <f t="shared" si="37"/>
        <v>0</v>
      </c>
    </row>
    <row r="482" spans="1:7" s="160" customFormat="1" x14ac:dyDescent="0.35">
      <c r="A482" s="398"/>
      <c r="B482" s="399"/>
      <c r="C482" s="400"/>
      <c r="D482" s="409"/>
      <c r="E482" s="401"/>
      <c r="F482" s="411"/>
      <c r="G482" s="402">
        <f t="shared" si="37"/>
        <v>0</v>
      </c>
    </row>
    <row r="483" spans="1:7" s="160" customFormat="1" x14ac:dyDescent="0.35">
      <c r="A483" s="398"/>
      <c r="B483" s="399"/>
      <c r="C483" s="400"/>
      <c r="D483" s="409"/>
      <c r="E483" s="401"/>
      <c r="F483" s="411"/>
      <c r="G483" s="402">
        <f t="shared" si="37"/>
        <v>0</v>
      </c>
    </row>
    <row r="484" spans="1:7" s="160" customFormat="1" x14ac:dyDescent="0.35">
      <c r="A484" s="398"/>
      <c r="B484" s="399"/>
      <c r="C484" s="400"/>
      <c r="D484" s="409"/>
      <c r="E484" s="401"/>
      <c r="F484" s="411"/>
      <c r="G484" s="402">
        <f t="shared" si="37"/>
        <v>0</v>
      </c>
    </row>
    <row r="485" spans="1:7" s="160" customFormat="1" x14ac:dyDescent="0.35">
      <c r="A485" s="398"/>
      <c r="B485" s="399"/>
      <c r="C485" s="400"/>
      <c r="D485" s="409"/>
      <c r="E485" s="401"/>
      <c r="F485" s="411"/>
      <c r="G485" s="402">
        <f t="shared" si="37"/>
        <v>0</v>
      </c>
    </row>
    <row r="486" spans="1:7" s="160" customFormat="1" x14ac:dyDescent="0.35">
      <c r="A486" s="398"/>
      <c r="B486" s="399"/>
      <c r="C486" s="400"/>
      <c r="D486" s="409"/>
      <c r="E486" s="401"/>
      <c r="F486" s="411"/>
      <c r="G486" s="402">
        <f t="shared" si="37"/>
        <v>0</v>
      </c>
    </row>
    <row r="487" spans="1:7" s="160" customFormat="1" x14ac:dyDescent="0.35">
      <c r="A487" s="398"/>
      <c r="B487" s="399"/>
      <c r="C487" s="400"/>
      <c r="D487" s="409"/>
      <c r="E487" s="401"/>
      <c r="F487" s="411"/>
      <c r="G487" s="402">
        <f t="shared" si="37"/>
        <v>0</v>
      </c>
    </row>
    <row r="488" spans="1:7" s="160" customFormat="1" x14ac:dyDescent="0.35">
      <c r="A488" s="398"/>
      <c r="B488" s="399"/>
      <c r="C488" s="400"/>
      <c r="D488" s="409"/>
      <c r="E488" s="401"/>
      <c r="F488" s="411"/>
      <c r="G488" s="402">
        <f t="shared" si="37"/>
        <v>0</v>
      </c>
    </row>
    <row r="489" spans="1:7" s="160" customFormat="1" x14ac:dyDescent="0.35">
      <c r="A489" s="398"/>
      <c r="B489" s="399"/>
      <c r="C489" s="400"/>
      <c r="D489" s="409"/>
      <c r="E489" s="401"/>
      <c r="F489" s="411"/>
      <c r="G489" s="402">
        <f t="shared" si="37"/>
        <v>0</v>
      </c>
    </row>
    <row r="490" spans="1:7" s="160" customFormat="1" ht="24" thickBot="1" x14ac:dyDescent="0.4">
      <c r="A490" s="398"/>
      <c r="B490" s="399"/>
      <c r="C490" s="400"/>
      <c r="D490" s="409"/>
      <c r="E490" s="401"/>
      <c r="F490" s="411"/>
      <c r="G490" s="402">
        <f t="shared" si="37"/>
        <v>0</v>
      </c>
    </row>
    <row r="491" spans="1:7" s="160" customFormat="1" ht="24" thickBot="1" x14ac:dyDescent="0.4">
      <c r="A491" s="398"/>
      <c r="B491" s="399"/>
      <c r="C491" s="404" t="s">
        <v>760</v>
      </c>
      <c r="D491" s="409"/>
      <c r="E491" s="401"/>
      <c r="F491" s="411"/>
      <c r="G491" s="405">
        <f>SUM(G468:G490)</f>
        <v>0</v>
      </c>
    </row>
    <row r="492" spans="1:7" s="160" customFormat="1" x14ac:dyDescent="0.35">
      <c r="A492" s="398"/>
      <c r="B492" s="399"/>
      <c r="C492" s="400"/>
      <c r="D492" s="409"/>
      <c r="E492" s="401"/>
      <c r="F492" s="411"/>
      <c r="G492" s="402">
        <f t="shared" si="37"/>
        <v>0</v>
      </c>
    </row>
    <row r="493" spans="1:7" s="160" customFormat="1" x14ac:dyDescent="0.35">
      <c r="A493" s="398"/>
      <c r="B493" s="399"/>
      <c r="C493" s="400"/>
      <c r="D493" s="409"/>
      <c r="E493" s="401"/>
      <c r="F493" s="411"/>
      <c r="G493" s="402">
        <f t="shared" si="37"/>
        <v>0</v>
      </c>
    </row>
    <row r="494" spans="1:7" s="160" customFormat="1" x14ac:dyDescent="0.35">
      <c r="A494" s="398"/>
      <c r="B494" s="399"/>
      <c r="C494" s="400"/>
      <c r="D494" s="409"/>
      <c r="E494" s="401"/>
      <c r="F494" s="411"/>
      <c r="G494" s="402">
        <f t="shared" si="37"/>
        <v>0</v>
      </c>
    </row>
    <row r="495" spans="1:7" s="160" customFormat="1" x14ac:dyDescent="0.35">
      <c r="A495" s="398"/>
      <c r="B495" s="399"/>
      <c r="C495" s="400"/>
      <c r="D495" s="409"/>
      <c r="E495" s="401"/>
      <c r="F495" s="411"/>
      <c r="G495" s="402"/>
    </row>
    <row r="496" spans="1:7" s="160" customFormat="1" x14ac:dyDescent="0.35">
      <c r="A496" s="398"/>
      <c r="B496" s="399"/>
      <c r="C496" s="400"/>
      <c r="D496" s="409"/>
      <c r="E496" s="401"/>
      <c r="F496" s="411"/>
      <c r="G496" s="402"/>
    </row>
    <row r="497" spans="1:7" s="160" customFormat="1" x14ac:dyDescent="0.35">
      <c r="A497" s="398"/>
      <c r="B497" s="399"/>
      <c r="C497" s="400"/>
      <c r="D497" s="409"/>
      <c r="E497" s="401"/>
      <c r="F497" s="411"/>
      <c r="G497" s="402"/>
    </row>
    <row r="498" spans="1:7" s="160" customFormat="1" x14ac:dyDescent="0.35">
      <c r="A498" s="398"/>
      <c r="B498" s="399"/>
      <c r="C498" s="400"/>
      <c r="D498" s="409"/>
      <c r="E498" s="401"/>
      <c r="F498" s="411"/>
      <c r="G498" s="402">
        <f t="shared" si="37"/>
        <v>0</v>
      </c>
    </row>
    <row r="499" spans="1:7" s="160" customFormat="1" x14ac:dyDescent="0.35">
      <c r="A499" s="398"/>
      <c r="B499" s="399"/>
      <c r="C499" s="400"/>
      <c r="D499" s="409"/>
      <c r="E499" s="401"/>
      <c r="F499" s="411"/>
      <c r="G499" s="402">
        <f t="shared" si="37"/>
        <v>0</v>
      </c>
    </row>
    <row r="500" spans="1:7" s="160" customFormat="1" x14ac:dyDescent="0.35">
      <c r="A500" s="398"/>
      <c r="B500" s="399"/>
      <c r="C500" s="400"/>
      <c r="D500" s="409"/>
      <c r="E500" s="401"/>
      <c r="F500" s="411"/>
      <c r="G500" s="402">
        <f t="shared" si="37"/>
        <v>0</v>
      </c>
    </row>
    <row r="501" spans="1:7" s="160" customFormat="1" x14ac:dyDescent="0.35">
      <c r="A501" s="398"/>
      <c r="B501" s="399"/>
      <c r="C501" s="400"/>
      <c r="D501" s="409"/>
      <c r="E501" s="401"/>
      <c r="F501" s="411"/>
      <c r="G501" s="402">
        <f t="shared" si="37"/>
        <v>0</v>
      </c>
    </row>
    <row r="502" spans="1:7" s="160" customFormat="1" x14ac:dyDescent="0.35">
      <c r="A502" s="398"/>
      <c r="B502" s="399"/>
      <c r="C502" s="400"/>
      <c r="D502" s="409"/>
      <c r="E502" s="401"/>
      <c r="F502" s="411"/>
      <c r="G502" s="402">
        <f t="shared" si="37"/>
        <v>0</v>
      </c>
    </row>
    <row r="503" spans="1:7" s="160" customFormat="1" x14ac:dyDescent="0.35">
      <c r="A503" s="398"/>
      <c r="B503" s="399"/>
      <c r="C503" s="400"/>
      <c r="D503" s="409"/>
      <c r="E503" s="401"/>
      <c r="F503" s="411"/>
      <c r="G503" s="402">
        <f t="shared" si="37"/>
        <v>0</v>
      </c>
    </row>
    <row r="504" spans="1:7" s="160" customFormat="1" ht="24" thickBot="1" x14ac:dyDescent="0.4">
      <c r="A504" s="398"/>
      <c r="B504" s="399"/>
      <c r="C504" s="400"/>
      <c r="D504" s="409"/>
      <c r="E504" s="401"/>
      <c r="F504" s="411"/>
      <c r="G504" s="402">
        <f t="shared" si="37"/>
        <v>0</v>
      </c>
    </row>
    <row r="505" spans="1:7" ht="18.75" customHeight="1" x14ac:dyDescent="0.35">
      <c r="A505" s="383"/>
      <c r="B505" s="384"/>
      <c r="C505" s="385"/>
      <c r="D505" s="386"/>
      <c r="E505" s="387"/>
      <c r="F505" s="410"/>
      <c r="G505" s="387"/>
    </row>
    <row r="506" spans="1:7" s="160" customFormat="1" x14ac:dyDescent="0.35">
      <c r="A506" s="388"/>
      <c r="B506" s="389"/>
      <c r="C506" s="390"/>
      <c r="D506" s="391"/>
      <c r="E506" s="391"/>
      <c r="F506" s="393" t="s">
        <v>2</v>
      </c>
      <c r="G506" s="393"/>
    </row>
    <row r="507" spans="1:7" s="160" customFormat="1" ht="24" thickBot="1" x14ac:dyDescent="0.4">
      <c r="A507" s="394"/>
      <c r="B507" s="395"/>
      <c r="C507" s="396" t="s">
        <v>753</v>
      </c>
      <c r="D507" s="397" t="s">
        <v>3</v>
      </c>
      <c r="E507" s="397" t="s">
        <v>1</v>
      </c>
      <c r="F507" s="397" t="s">
        <v>4</v>
      </c>
      <c r="G507" s="397" t="s">
        <v>5</v>
      </c>
    </row>
    <row r="508" spans="1:7" s="160" customFormat="1" ht="18" customHeight="1" x14ac:dyDescent="0.35">
      <c r="A508" s="398"/>
      <c r="B508" s="399"/>
      <c r="C508" s="400"/>
      <c r="D508" s="409"/>
      <c r="E508" s="401"/>
      <c r="F508" s="411"/>
      <c r="G508" s="402">
        <f t="shared" ref="G508:G509" si="38">ROUND(D508*F508,2)</f>
        <v>0</v>
      </c>
    </row>
    <row r="509" spans="1:7" s="160" customFormat="1" x14ac:dyDescent="0.35">
      <c r="A509" s="398"/>
      <c r="B509" s="399"/>
      <c r="C509" s="412" t="s">
        <v>843</v>
      </c>
      <c r="D509" s="409"/>
      <c r="E509" s="401"/>
      <c r="F509" s="411"/>
      <c r="G509" s="402">
        <f t="shared" si="38"/>
        <v>0</v>
      </c>
    </row>
    <row r="510" spans="1:7" s="160" customFormat="1" x14ac:dyDescent="0.35">
      <c r="A510" s="398"/>
      <c r="B510" s="399"/>
      <c r="C510" s="400"/>
      <c r="D510" s="409"/>
      <c r="E510" s="401"/>
      <c r="F510" s="411"/>
      <c r="G510" s="402">
        <f t="shared" ref="G510:G529" si="39">D510*F510</f>
        <v>0</v>
      </c>
    </row>
    <row r="511" spans="1:7" s="160" customFormat="1" ht="93" x14ac:dyDescent="0.35">
      <c r="A511" s="398"/>
      <c r="B511" s="399"/>
      <c r="C511" s="400" t="s">
        <v>850</v>
      </c>
      <c r="D511" s="409">
        <v>72</v>
      </c>
      <c r="E511" s="401" t="s">
        <v>468</v>
      </c>
      <c r="F511" s="411"/>
      <c r="G511" s="402">
        <f t="shared" si="39"/>
        <v>0</v>
      </c>
    </row>
    <row r="512" spans="1:7" s="160" customFormat="1" x14ac:dyDescent="0.35">
      <c r="A512" s="398"/>
      <c r="B512" s="399"/>
      <c r="C512" s="400"/>
      <c r="D512" s="409"/>
      <c r="E512" s="401"/>
      <c r="F512" s="411"/>
      <c r="G512" s="402">
        <f t="shared" si="39"/>
        <v>0</v>
      </c>
    </row>
    <row r="513" spans="1:7" s="160" customFormat="1" ht="93" x14ac:dyDescent="0.35">
      <c r="A513" s="398"/>
      <c r="B513" s="399"/>
      <c r="C513" s="400" t="s">
        <v>852</v>
      </c>
      <c r="D513" s="409">
        <v>62</v>
      </c>
      <c r="E513" s="401" t="s">
        <v>468</v>
      </c>
      <c r="F513" s="411"/>
      <c r="G513" s="402">
        <f t="shared" si="39"/>
        <v>0</v>
      </c>
    </row>
    <row r="514" spans="1:7" s="160" customFormat="1" x14ac:dyDescent="0.35">
      <c r="A514" s="398"/>
      <c r="B514" s="399"/>
      <c r="C514" s="400"/>
      <c r="D514" s="409"/>
      <c r="E514" s="401"/>
      <c r="F514" s="411"/>
      <c r="G514" s="402">
        <f t="shared" si="39"/>
        <v>0</v>
      </c>
    </row>
    <row r="515" spans="1:7" s="160" customFormat="1" ht="93" x14ac:dyDescent="0.35">
      <c r="A515" s="398"/>
      <c r="B515" s="399"/>
      <c r="C515" s="400" t="s">
        <v>851</v>
      </c>
      <c r="D515" s="409">
        <v>74</v>
      </c>
      <c r="E515" s="401" t="s">
        <v>468</v>
      </c>
      <c r="F515" s="411"/>
      <c r="G515" s="402">
        <f t="shared" si="39"/>
        <v>0</v>
      </c>
    </row>
    <row r="516" spans="1:7" s="160" customFormat="1" x14ac:dyDescent="0.35">
      <c r="A516" s="398"/>
      <c r="B516" s="399"/>
      <c r="C516" s="400"/>
      <c r="D516" s="409"/>
      <c r="E516" s="401"/>
      <c r="F516" s="411"/>
      <c r="G516" s="402">
        <f t="shared" si="39"/>
        <v>0</v>
      </c>
    </row>
    <row r="517" spans="1:7" s="160" customFormat="1" ht="46.5" x14ac:dyDescent="0.35">
      <c r="A517" s="398"/>
      <c r="B517" s="399"/>
      <c r="C517" s="435" t="s">
        <v>849</v>
      </c>
      <c r="D517" s="442">
        <v>6</v>
      </c>
      <c r="E517" s="440" t="s">
        <v>810</v>
      </c>
      <c r="F517" s="438"/>
      <c r="G517" s="439">
        <f t="shared" si="39"/>
        <v>0</v>
      </c>
    </row>
    <row r="518" spans="1:7" s="160" customFormat="1" x14ac:dyDescent="0.35">
      <c r="A518" s="398"/>
      <c r="B518" s="399"/>
      <c r="C518" s="400"/>
      <c r="D518" s="409"/>
      <c r="E518" s="401"/>
      <c r="F518" s="411"/>
      <c r="G518" s="402">
        <f t="shared" si="39"/>
        <v>0</v>
      </c>
    </row>
    <row r="519" spans="1:7" s="160" customFormat="1" ht="69.75" x14ac:dyDescent="0.35">
      <c r="A519" s="398"/>
      <c r="B519" s="399"/>
      <c r="C519" s="400" t="s">
        <v>853</v>
      </c>
      <c r="D519" s="409">
        <v>1240</v>
      </c>
      <c r="E519" s="401" t="s">
        <v>772</v>
      </c>
      <c r="F519" s="411"/>
      <c r="G519" s="402">
        <f t="shared" si="39"/>
        <v>0</v>
      </c>
    </row>
    <row r="520" spans="1:7" s="160" customFormat="1" x14ac:dyDescent="0.35">
      <c r="A520" s="398"/>
      <c r="B520" s="399"/>
      <c r="C520" s="400"/>
      <c r="D520" s="409"/>
      <c r="E520" s="401"/>
      <c r="F520" s="411"/>
      <c r="G520" s="402">
        <f t="shared" si="39"/>
        <v>0</v>
      </c>
    </row>
    <row r="521" spans="1:7" s="160" customFormat="1" ht="69.75" x14ac:dyDescent="0.35">
      <c r="A521" s="398"/>
      <c r="B521" s="399"/>
      <c r="C521" s="400" t="s">
        <v>854</v>
      </c>
      <c r="D521" s="409">
        <v>282</v>
      </c>
      <c r="E521" s="401" t="s">
        <v>772</v>
      </c>
      <c r="F521" s="411"/>
      <c r="G521" s="402">
        <f t="shared" si="39"/>
        <v>0</v>
      </c>
    </row>
    <row r="522" spans="1:7" s="160" customFormat="1" x14ac:dyDescent="0.35">
      <c r="A522" s="398"/>
      <c r="B522" s="399"/>
      <c r="C522" s="400"/>
      <c r="D522" s="409"/>
      <c r="E522" s="401"/>
      <c r="F522" s="411"/>
      <c r="G522" s="402">
        <f t="shared" si="39"/>
        <v>0</v>
      </c>
    </row>
    <row r="523" spans="1:7" s="160" customFormat="1" ht="69.75" x14ac:dyDescent="0.35">
      <c r="A523" s="398"/>
      <c r="B523" s="399"/>
      <c r="C523" s="400" t="s">
        <v>855</v>
      </c>
      <c r="D523" s="409">
        <v>54</v>
      </c>
      <c r="E523" s="401" t="s">
        <v>772</v>
      </c>
      <c r="F523" s="411"/>
      <c r="G523" s="402">
        <f t="shared" si="39"/>
        <v>0</v>
      </c>
    </row>
    <row r="524" spans="1:7" s="160" customFormat="1" x14ac:dyDescent="0.35">
      <c r="A524" s="398"/>
      <c r="B524" s="399"/>
      <c r="C524" s="400"/>
      <c r="D524" s="409"/>
      <c r="E524" s="401"/>
      <c r="F524" s="411"/>
      <c r="G524" s="402">
        <f t="shared" si="39"/>
        <v>0</v>
      </c>
    </row>
    <row r="525" spans="1:7" s="160" customFormat="1" ht="69.75" x14ac:dyDescent="0.35">
      <c r="A525" s="398"/>
      <c r="B525" s="399"/>
      <c r="C525" s="400" t="s">
        <v>856</v>
      </c>
      <c r="D525" s="409">
        <v>260</v>
      </c>
      <c r="E525" s="401" t="s">
        <v>772</v>
      </c>
      <c r="F525" s="411"/>
      <c r="G525" s="402">
        <f>D525*F525</f>
        <v>0</v>
      </c>
    </row>
    <row r="526" spans="1:7" s="160" customFormat="1" x14ac:dyDescent="0.35">
      <c r="A526" s="398"/>
      <c r="B526" s="399"/>
      <c r="C526" s="400"/>
      <c r="D526" s="409"/>
      <c r="E526" s="401"/>
      <c r="F526" s="411"/>
      <c r="G526" s="402">
        <f t="shared" si="39"/>
        <v>0</v>
      </c>
    </row>
    <row r="527" spans="1:7" s="160" customFormat="1" ht="93" x14ac:dyDescent="0.35">
      <c r="A527" s="398"/>
      <c r="B527" s="399"/>
      <c r="C527" s="435" t="s">
        <v>857</v>
      </c>
      <c r="D527" s="442">
        <v>164</v>
      </c>
      <c r="E527" s="440" t="s">
        <v>26</v>
      </c>
      <c r="F527" s="438"/>
      <c r="G527" s="439">
        <f t="shared" si="39"/>
        <v>0</v>
      </c>
    </row>
    <row r="528" spans="1:7" s="160" customFormat="1" x14ac:dyDescent="0.35">
      <c r="A528" s="398"/>
      <c r="B528" s="399"/>
      <c r="C528" s="400"/>
      <c r="D528" s="409"/>
      <c r="E528" s="401"/>
      <c r="F528" s="411"/>
      <c r="G528" s="402">
        <f t="shared" si="39"/>
        <v>0</v>
      </c>
    </row>
    <row r="529" spans="1:7" s="160" customFormat="1" ht="93" x14ac:dyDescent="0.35">
      <c r="A529" s="398"/>
      <c r="B529" s="399"/>
      <c r="C529" s="400" t="s">
        <v>860</v>
      </c>
      <c r="D529" s="409">
        <v>76</v>
      </c>
      <c r="E529" s="401" t="s">
        <v>772</v>
      </c>
      <c r="F529" s="411"/>
      <c r="G529" s="402">
        <f t="shared" si="39"/>
        <v>0</v>
      </c>
    </row>
    <row r="530" spans="1:7" s="160" customFormat="1" x14ac:dyDescent="0.35">
      <c r="A530" s="398"/>
      <c r="B530" s="399"/>
      <c r="C530" s="400"/>
      <c r="D530" s="409"/>
      <c r="E530" s="401"/>
      <c r="F530" s="411"/>
      <c r="G530" s="402">
        <f t="shared" ref="G530:G531" si="40">ROUND(D530*F530,2)</f>
        <v>0</v>
      </c>
    </row>
    <row r="531" spans="1:7" s="160" customFormat="1" ht="24" thickBot="1" x14ac:dyDescent="0.4">
      <c r="A531" s="398"/>
      <c r="B531" s="399"/>
      <c r="C531" s="400"/>
      <c r="D531" s="409"/>
      <c r="E531" s="401"/>
      <c r="F531" s="411"/>
      <c r="G531" s="402">
        <f t="shared" si="40"/>
        <v>0</v>
      </c>
    </row>
    <row r="532" spans="1:7" s="160" customFormat="1" ht="24" thickBot="1" x14ac:dyDescent="0.4">
      <c r="A532" s="398"/>
      <c r="B532" s="399"/>
      <c r="C532" s="404" t="s">
        <v>760</v>
      </c>
      <c r="D532" s="409"/>
      <c r="E532" s="401"/>
      <c r="F532" s="411"/>
      <c r="G532" s="405">
        <f>SUM(G510:G531)</f>
        <v>0</v>
      </c>
    </row>
    <row r="533" spans="1:7" ht="18.75" customHeight="1" x14ac:dyDescent="0.35">
      <c r="A533" s="383"/>
      <c r="B533" s="384"/>
      <c r="C533" s="385"/>
      <c r="D533" s="386"/>
      <c r="E533" s="387"/>
      <c r="F533" s="410"/>
      <c r="G533" s="387"/>
    </row>
    <row r="534" spans="1:7" s="160" customFormat="1" x14ac:dyDescent="0.35">
      <c r="A534" s="388"/>
      <c r="B534" s="389"/>
      <c r="C534" s="390"/>
      <c r="D534" s="391"/>
      <c r="E534" s="391"/>
      <c r="F534" s="393" t="s">
        <v>2</v>
      </c>
      <c r="G534" s="393"/>
    </row>
    <row r="535" spans="1:7" s="160" customFormat="1" ht="24" thickBot="1" x14ac:dyDescent="0.4">
      <c r="A535" s="394"/>
      <c r="B535" s="395"/>
      <c r="C535" s="396" t="s">
        <v>753</v>
      </c>
      <c r="D535" s="397" t="s">
        <v>3</v>
      </c>
      <c r="E535" s="397" t="s">
        <v>1</v>
      </c>
      <c r="F535" s="397" t="s">
        <v>4</v>
      </c>
      <c r="G535" s="397" t="s">
        <v>5</v>
      </c>
    </row>
    <row r="536" spans="1:7" s="160" customFormat="1" ht="18" customHeight="1" x14ac:dyDescent="0.35">
      <c r="A536" s="398"/>
      <c r="B536" s="399"/>
      <c r="C536" s="400"/>
      <c r="D536" s="409"/>
      <c r="E536" s="401"/>
      <c r="F536" s="411"/>
      <c r="G536" s="402">
        <f t="shared" ref="G536:G578" si="41">ROUND(D536*F536,2)</f>
        <v>0</v>
      </c>
    </row>
    <row r="537" spans="1:7" s="160" customFormat="1" ht="46.5" x14ac:dyDescent="0.35">
      <c r="A537" s="398"/>
      <c r="B537" s="399"/>
      <c r="C537" s="412" t="s">
        <v>858</v>
      </c>
      <c r="D537" s="409"/>
      <c r="E537" s="401"/>
      <c r="F537" s="411"/>
      <c r="G537" s="402">
        <f t="shared" si="41"/>
        <v>0</v>
      </c>
    </row>
    <row r="538" spans="1:7" s="160" customFormat="1" x14ac:dyDescent="0.35">
      <c r="A538" s="398"/>
      <c r="B538" s="399"/>
      <c r="C538" s="400"/>
      <c r="D538" s="409"/>
      <c r="E538" s="401"/>
      <c r="F538" s="411"/>
      <c r="G538" s="402">
        <f t="shared" ref="G538:G563" si="42">D538*F538</f>
        <v>0</v>
      </c>
    </row>
    <row r="539" spans="1:7" s="160" customFormat="1" ht="139.5" x14ac:dyDescent="0.35">
      <c r="A539" s="398"/>
      <c r="B539" s="399"/>
      <c r="C539" s="400" t="s">
        <v>859</v>
      </c>
      <c r="D539" s="409">
        <v>278</v>
      </c>
      <c r="E539" s="401" t="s">
        <v>468</v>
      </c>
      <c r="F539" s="411"/>
      <c r="G539" s="402">
        <f t="shared" si="42"/>
        <v>0</v>
      </c>
    </row>
    <row r="540" spans="1:7" s="160" customFormat="1" x14ac:dyDescent="0.35">
      <c r="A540" s="398"/>
      <c r="B540" s="399"/>
      <c r="C540" s="400"/>
      <c r="D540" s="409"/>
      <c r="E540" s="401"/>
      <c r="F540" s="411"/>
      <c r="G540" s="402">
        <f t="shared" si="42"/>
        <v>0</v>
      </c>
    </row>
    <row r="541" spans="1:7" s="160" customFormat="1" ht="46.5" x14ac:dyDescent="0.35">
      <c r="A541" s="398"/>
      <c r="B541" s="399"/>
      <c r="C541" s="400" t="s">
        <v>861</v>
      </c>
      <c r="D541" s="409">
        <v>12</v>
      </c>
      <c r="E541" s="401" t="s">
        <v>761</v>
      </c>
      <c r="F541" s="411"/>
      <c r="G541" s="402">
        <f t="shared" si="42"/>
        <v>0</v>
      </c>
    </row>
    <row r="542" spans="1:7" s="160" customFormat="1" x14ac:dyDescent="0.35">
      <c r="A542" s="398"/>
      <c r="B542" s="399"/>
      <c r="C542" s="400"/>
      <c r="D542" s="409"/>
      <c r="E542" s="401"/>
      <c r="F542" s="411"/>
      <c r="G542" s="402">
        <f t="shared" si="42"/>
        <v>0</v>
      </c>
    </row>
    <row r="543" spans="1:7" s="160" customFormat="1" ht="69.75" x14ac:dyDescent="0.35">
      <c r="A543" s="398"/>
      <c r="B543" s="399"/>
      <c r="C543" s="400" t="s">
        <v>862</v>
      </c>
      <c r="D543" s="409">
        <v>184</v>
      </c>
      <c r="E543" s="401" t="s">
        <v>772</v>
      </c>
      <c r="F543" s="411"/>
      <c r="G543" s="402">
        <f t="shared" si="42"/>
        <v>0</v>
      </c>
    </row>
    <row r="544" spans="1:7" s="160" customFormat="1" x14ac:dyDescent="0.35">
      <c r="A544" s="398"/>
      <c r="B544" s="399"/>
      <c r="C544" s="400"/>
      <c r="D544" s="409"/>
      <c r="E544" s="401"/>
      <c r="F544" s="411"/>
      <c r="G544" s="402">
        <f t="shared" si="42"/>
        <v>0</v>
      </c>
    </row>
    <row r="545" spans="1:7" s="160" customFormat="1" ht="116.25" x14ac:dyDescent="0.35">
      <c r="A545" s="398"/>
      <c r="B545" s="399"/>
      <c r="C545" s="400" t="s">
        <v>903</v>
      </c>
      <c r="D545" s="446">
        <v>200</v>
      </c>
      <c r="E545" s="401" t="s">
        <v>772</v>
      </c>
      <c r="F545" s="411"/>
      <c r="G545" s="402">
        <f t="shared" si="42"/>
        <v>0</v>
      </c>
    </row>
    <row r="546" spans="1:7" s="160" customFormat="1" x14ac:dyDescent="0.35">
      <c r="A546" s="398"/>
      <c r="B546" s="399"/>
      <c r="C546" s="400"/>
      <c r="D546" s="409"/>
      <c r="E546" s="401"/>
      <c r="F546" s="411"/>
      <c r="G546" s="402">
        <f t="shared" si="42"/>
        <v>0</v>
      </c>
    </row>
    <row r="547" spans="1:7" s="160" customFormat="1" x14ac:dyDescent="0.35">
      <c r="A547" s="398"/>
      <c r="B547" s="399"/>
      <c r="C547" s="400"/>
      <c r="D547" s="409"/>
      <c r="E547" s="401"/>
      <c r="F547" s="411"/>
      <c r="G547" s="402">
        <f t="shared" si="42"/>
        <v>0</v>
      </c>
    </row>
    <row r="548" spans="1:7" s="160" customFormat="1" x14ac:dyDescent="0.35">
      <c r="A548" s="398"/>
      <c r="B548" s="399"/>
      <c r="C548" s="400" t="s">
        <v>830</v>
      </c>
      <c r="D548" s="409">
        <v>1</v>
      </c>
      <c r="E548" s="401" t="s">
        <v>819</v>
      </c>
      <c r="F548" s="411"/>
      <c r="G548" s="402">
        <f t="shared" si="42"/>
        <v>0</v>
      </c>
    </row>
    <row r="549" spans="1:7" s="160" customFormat="1" x14ac:dyDescent="0.35">
      <c r="A549" s="398"/>
      <c r="B549" s="399"/>
      <c r="C549" s="400"/>
      <c r="D549" s="409"/>
      <c r="E549" s="401"/>
      <c r="F549" s="411"/>
      <c r="G549" s="402">
        <f t="shared" si="42"/>
        <v>0</v>
      </c>
    </row>
    <row r="550" spans="1:7" s="160" customFormat="1" x14ac:dyDescent="0.35">
      <c r="A550" s="398"/>
      <c r="B550" s="399"/>
      <c r="C550" s="400"/>
      <c r="D550" s="409"/>
      <c r="E550" s="401"/>
      <c r="F550" s="411"/>
      <c r="G550" s="402">
        <f t="shared" si="42"/>
        <v>0</v>
      </c>
    </row>
    <row r="551" spans="1:7" s="160" customFormat="1" x14ac:dyDescent="0.35">
      <c r="A551" s="398"/>
      <c r="B551" s="399"/>
      <c r="C551" s="400"/>
      <c r="D551" s="409"/>
      <c r="E551" s="401"/>
      <c r="F551" s="411"/>
      <c r="G551" s="402">
        <f t="shared" si="42"/>
        <v>0</v>
      </c>
    </row>
    <row r="552" spans="1:7" s="160" customFormat="1" x14ac:dyDescent="0.35">
      <c r="A552" s="398"/>
      <c r="B552" s="399"/>
      <c r="C552" s="400"/>
      <c r="D552" s="409"/>
      <c r="E552" s="401"/>
      <c r="F552" s="411"/>
      <c r="G552" s="402">
        <f t="shared" si="42"/>
        <v>0</v>
      </c>
    </row>
    <row r="553" spans="1:7" s="160" customFormat="1" x14ac:dyDescent="0.35">
      <c r="A553" s="398"/>
      <c r="B553" s="399"/>
      <c r="C553" s="400"/>
      <c r="D553" s="409"/>
      <c r="E553" s="401"/>
      <c r="F553" s="411"/>
      <c r="G553" s="402">
        <f t="shared" si="42"/>
        <v>0</v>
      </c>
    </row>
    <row r="554" spans="1:7" s="160" customFormat="1" x14ac:dyDescent="0.35">
      <c r="A554" s="398"/>
      <c r="B554" s="399"/>
      <c r="C554" s="400"/>
      <c r="D554" s="409"/>
      <c r="E554" s="401"/>
      <c r="F554" s="411"/>
      <c r="G554" s="402">
        <f t="shared" si="42"/>
        <v>0</v>
      </c>
    </row>
    <row r="555" spans="1:7" s="160" customFormat="1" x14ac:dyDescent="0.35">
      <c r="A555" s="398"/>
      <c r="B555" s="399"/>
      <c r="C555" s="400"/>
      <c r="D555" s="409"/>
      <c r="E555" s="401"/>
      <c r="F555" s="411"/>
      <c r="G555" s="402">
        <f t="shared" si="42"/>
        <v>0</v>
      </c>
    </row>
    <row r="556" spans="1:7" s="160" customFormat="1" x14ac:dyDescent="0.35">
      <c r="A556" s="398"/>
      <c r="B556" s="399"/>
      <c r="C556" s="400"/>
      <c r="D556" s="409"/>
      <c r="E556" s="401"/>
      <c r="F556" s="411"/>
      <c r="G556" s="402">
        <f t="shared" si="42"/>
        <v>0</v>
      </c>
    </row>
    <row r="557" spans="1:7" s="160" customFormat="1" x14ac:dyDescent="0.35">
      <c r="A557" s="398"/>
      <c r="B557" s="399"/>
      <c r="C557" s="400"/>
      <c r="D557" s="409"/>
      <c r="E557" s="401"/>
      <c r="F557" s="411"/>
      <c r="G557" s="402">
        <f t="shared" si="42"/>
        <v>0</v>
      </c>
    </row>
    <row r="558" spans="1:7" s="160" customFormat="1" x14ac:dyDescent="0.35">
      <c r="A558" s="398"/>
      <c r="B558" s="399"/>
      <c r="C558" s="400"/>
      <c r="D558" s="409"/>
      <c r="E558" s="401"/>
      <c r="F558" s="411"/>
      <c r="G558" s="402">
        <f t="shared" si="42"/>
        <v>0</v>
      </c>
    </row>
    <row r="559" spans="1:7" s="160" customFormat="1" x14ac:dyDescent="0.35">
      <c r="A559" s="398"/>
      <c r="B559" s="399"/>
      <c r="C559" s="400"/>
      <c r="D559" s="409"/>
      <c r="E559" s="401"/>
      <c r="F559" s="411"/>
      <c r="G559" s="402">
        <f t="shared" si="42"/>
        <v>0</v>
      </c>
    </row>
    <row r="560" spans="1:7" s="160" customFormat="1" x14ac:dyDescent="0.35">
      <c r="A560" s="398"/>
      <c r="B560" s="399"/>
      <c r="C560" s="400"/>
      <c r="D560" s="409"/>
      <c r="E560" s="401"/>
      <c r="F560" s="411"/>
      <c r="G560" s="402">
        <f t="shared" si="42"/>
        <v>0</v>
      </c>
    </row>
    <row r="561" spans="1:7" s="160" customFormat="1" x14ac:dyDescent="0.35">
      <c r="A561" s="398"/>
      <c r="B561" s="399"/>
      <c r="C561" s="400"/>
      <c r="D561" s="409"/>
      <c r="E561" s="401"/>
      <c r="F561" s="411"/>
      <c r="G561" s="402">
        <f t="shared" si="42"/>
        <v>0</v>
      </c>
    </row>
    <row r="562" spans="1:7" s="160" customFormat="1" x14ac:dyDescent="0.35">
      <c r="A562" s="398"/>
      <c r="B562" s="399"/>
      <c r="C562" s="400"/>
      <c r="D562" s="409"/>
      <c r="E562" s="401"/>
      <c r="F562" s="411"/>
      <c r="G562" s="402">
        <f t="shared" si="42"/>
        <v>0</v>
      </c>
    </row>
    <row r="563" spans="1:7" s="160" customFormat="1" x14ac:dyDescent="0.35">
      <c r="A563" s="398"/>
      <c r="B563" s="399"/>
      <c r="C563" s="400"/>
      <c r="D563" s="409"/>
      <c r="E563" s="401"/>
      <c r="F563" s="411"/>
      <c r="G563" s="402">
        <f t="shared" si="42"/>
        <v>0</v>
      </c>
    </row>
    <row r="564" spans="1:7" s="160" customFormat="1" x14ac:dyDescent="0.35">
      <c r="A564" s="398"/>
      <c r="B564" s="399"/>
      <c r="C564" s="400"/>
      <c r="D564" s="409"/>
      <c r="E564" s="401"/>
      <c r="F564" s="411"/>
      <c r="G564" s="402">
        <f t="shared" si="41"/>
        <v>0</v>
      </c>
    </row>
    <row r="565" spans="1:7" s="160" customFormat="1" ht="24" thickBot="1" x14ac:dyDescent="0.4">
      <c r="A565" s="398"/>
      <c r="B565" s="399"/>
      <c r="C565" s="400"/>
      <c r="D565" s="409"/>
      <c r="E565" s="401"/>
      <c r="F565" s="411"/>
      <c r="G565" s="402">
        <f t="shared" si="41"/>
        <v>0</v>
      </c>
    </row>
    <row r="566" spans="1:7" s="160" customFormat="1" ht="24" thickBot="1" x14ac:dyDescent="0.4">
      <c r="A566" s="398"/>
      <c r="B566" s="399"/>
      <c r="C566" s="404" t="s">
        <v>760</v>
      </c>
      <c r="D566" s="409"/>
      <c r="E566" s="401"/>
      <c r="F566" s="411"/>
      <c r="G566" s="405">
        <f>SUM(G538:G565)</f>
        <v>0</v>
      </c>
    </row>
    <row r="567" spans="1:7" s="160" customFormat="1" x14ac:dyDescent="0.35">
      <c r="A567" s="398"/>
      <c r="B567" s="399"/>
      <c r="C567" s="400"/>
      <c r="D567" s="409"/>
      <c r="E567" s="401"/>
      <c r="F567" s="411"/>
      <c r="G567" s="402">
        <f t="shared" si="41"/>
        <v>0</v>
      </c>
    </row>
    <row r="568" spans="1:7" s="160" customFormat="1" x14ac:dyDescent="0.35">
      <c r="A568" s="398"/>
      <c r="B568" s="399"/>
      <c r="C568" s="400"/>
      <c r="D568" s="409"/>
      <c r="E568" s="401"/>
      <c r="F568" s="411"/>
      <c r="G568" s="402">
        <f t="shared" si="41"/>
        <v>0</v>
      </c>
    </row>
    <row r="569" spans="1:7" s="160" customFormat="1" x14ac:dyDescent="0.35">
      <c r="A569" s="398"/>
      <c r="B569" s="399"/>
      <c r="C569" s="400"/>
      <c r="D569" s="409"/>
      <c r="E569" s="401"/>
      <c r="F569" s="411"/>
      <c r="G569" s="402">
        <f t="shared" si="41"/>
        <v>0</v>
      </c>
    </row>
    <row r="570" spans="1:7" s="160" customFormat="1" x14ac:dyDescent="0.35">
      <c r="A570" s="398"/>
      <c r="B570" s="399"/>
      <c r="C570" s="400"/>
      <c r="D570" s="409"/>
      <c r="E570" s="401"/>
      <c r="F570" s="411"/>
      <c r="G570" s="402"/>
    </row>
    <row r="571" spans="1:7" s="160" customFormat="1" x14ac:dyDescent="0.35">
      <c r="A571" s="398"/>
      <c r="B571" s="399"/>
      <c r="C571" s="400"/>
      <c r="D571" s="409"/>
      <c r="E571" s="401"/>
      <c r="F571" s="411"/>
      <c r="G571" s="402"/>
    </row>
    <row r="572" spans="1:7" s="160" customFormat="1" ht="24" thickBot="1" x14ac:dyDescent="0.4">
      <c r="A572" s="398"/>
      <c r="B572" s="399"/>
      <c r="C572" s="400"/>
      <c r="D572" s="409"/>
      <c r="E572" s="401"/>
      <c r="F572" s="411"/>
      <c r="G572" s="402">
        <f t="shared" si="41"/>
        <v>0</v>
      </c>
    </row>
    <row r="573" spans="1:7" ht="18.75" customHeight="1" x14ac:dyDescent="0.35">
      <c r="A573" s="383"/>
      <c r="B573" s="384"/>
      <c r="C573" s="385"/>
      <c r="D573" s="386"/>
      <c r="E573" s="387"/>
      <c r="F573" s="410"/>
      <c r="G573" s="387"/>
    </row>
    <row r="574" spans="1:7" s="160" customFormat="1" x14ac:dyDescent="0.35">
      <c r="A574" s="388"/>
      <c r="B574" s="389"/>
      <c r="C574" s="390"/>
      <c r="D574" s="391"/>
      <c r="E574" s="391"/>
      <c r="F574" s="393" t="s">
        <v>2</v>
      </c>
      <c r="G574" s="393"/>
    </row>
    <row r="575" spans="1:7" s="160" customFormat="1" ht="24" thickBot="1" x14ac:dyDescent="0.4">
      <c r="A575" s="394"/>
      <c r="B575" s="395"/>
      <c r="C575" s="396" t="s">
        <v>753</v>
      </c>
      <c r="D575" s="397" t="s">
        <v>3</v>
      </c>
      <c r="E575" s="397" t="s">
        <v>1</v>
      </c>
      <c r="F575" s="397" t="s">
        <v>4</v>
      </c>
      <c r="G575" s="397" t="s">
        <v>5</v>
      </c>
    </row>
    <row r="576" spans="1:7" s="160" customFormat="1" ht="18" customHeight="1" x14ac:dyDescent="0.35">
      <c r="A576" s="398"/>
      <c r="B576" s="399"/>
      <c r="C576" s="400"/>
      <c r="D576" s="409"/>
      <c r="E576" s="401"/>
      <c r="F576" s="411"/>
      <c r="G576" s="402">
        <f t="shared" ref="G576:G577" si="43">ROUND(D576*F576,2)</f>
        <v>0</v>
      </c>
    </row>
    <row r="577" spans="1:7" s="160" customFormat="1" x14ac:dyDescent="0.35">
      <c r="A577" s="398"/>
      <c r="B577" s="399"/>
      <c r="C577" s="412" t="s">
        <v>863</v>
      </c>
      <c r="D577" s="409"/>
      <c r="E577" s="401"/>
      <c r="F577" s="411"/>
      <c r="G577" s="402">
        <f t="shared" si="43"/>
        <v>0</v>
      </c>
    </row>
    <row r="578" spans="1:7" s="160" customFormat="1" x14ac:dyDescent="0.35">
      <c r="A578" s="398"/>
      <c r="B578" s="399"/>
      <c r="C578" s="400"/>
      <c r="D578" s="409"/>
      <c r="E578" s="401"/>
      <c r="F578" s="411"/>
      <c r="G578" s="402">
        <f t="shared" si="41"/>
        <v>0</v>
      </c>
    </row>
    <row r="579" spans="1:7" s="160" customFormat="1" ht="46.5" x14ac:dyDescent="0.35">
      <c r="A579" s="398"/>
      <c r="B579" s="399"/>
      <c r="C579" s="400" t="s">
        <v>899</v>
      </c>
      <c r="D579" s="409">
        <v>6</v>
      </c>
      <c r="E579" s="401" t="s">
        <v>761</v>
      </c>
      <c r="F579" s="411"/>
      <c r="G579" s="402">
        <f t="shared" ref="G579:G601" si="44">D579*F579</f>
        <v>0</v>
      </c>
    </row>
    <row r="580" spans="1:7" s="160" customFormat="1" x14ac:dyDescent="0.35">
      <c r="A580" s="398"/>
      <c r="B580" s="399"/>
      <c r="C580" s="400"/>
      <c r="D580" s="409"/>
      <c r="E580" s="401"/>
      <c r="F580" s="411"/>
      <c r="G580" s="402">
        <f t="shared" si="44"/>
        <v>0</v>
      </c>
    </row>
    <row r="581" spans="1:7" s="160" customFormat="1" ht="46.5" x14ac:dyDescent="0.35">
      <c r="A581" s="398"/>
      <c r="B581" s="399"/>
      <c r="C581" s="400" t="s">
        <v>900</v>
      </c>
      <c r="D581" s="409">
        <v>6</v>
      </c>
      <c r="E581" s="401" t="s">
        <v>761</v>
      </c>
      <c r="F581" s="411"/>
      <c r="G581" s="402">
        <f t="shared" si="44"/>
        <v>0</v>
      </c>
    </row>
    <row r="582" spans="1:7" s="160" customFormat="1" x14ac:dyDescent="0.35">
      <c r="A582" s="398"/>
      <c r="B582" s="399"/>
      <c r="C582" s="400"/>
      <c r="D582" s="409"/>
      <c r="E582" s="401"/>
      <c r="F582" s="411"/>
      <c r="G582" s="402">
        <f t="shared" si="44"/>
        <v>0</v>
      </c>
    </row>
    <row r="583" spans="1:7" s="160" customFormat="1" ht="46.5" x14ac:dyDescent="0.35">
      <c r="A583" s="398"/>
      <c r="B583" s="399"/>
      <c r="C583" s="400" t="s">
        <v>865</v>
      </c>
      <c r="D583" s="409">
        <v>6</v>
      </c>
      <c r="E583" s="401" t="s">
        <v>761</v>
      </c>
      <c r="F583" s="411"/>
      <c r="G583" s="402">
        <f t="shared" si="44"/>
        <v>0</v>
      </c>
    </row>
    <row r="584" spans="1:7" s="160" customFormat="1" x14ac:dyDescent="0.35">
      <c r="A584" s="398"/>
      <c r="B584" s="399"/>
      <c r="C584" s="400"/>
      <c r="D584" s="409"/>
      <c r="E584" s="401"/>
      <c r="F584" s="411"/>
      <c r="G584" s="402">
        <f t="shared" si="44"/>
        <v>0</v>
      </c>
    </row>
    <row r="585" spans="1:7" s="160" customFormat="1" ht="46.5" x14ac:dyDescent="0.35">
      <c r="A585" s="398"/>
      <c r="B585" s="399"/>
      <c r="C585" s="400" t="s">
        <v>866</v>
      </c>
      <c r="D585" s="409">
        <v>18</v>
      </c>
      <c r="E585" s="401" t="s">
        <v>761</v>
      </c>
      <c r="F585" s="411"/>
      <c r="G585" s="402">
        <f t="shared" si="44"/>
        <v>0</v>
      </c>
    </row>
    <row r="586" spans="1:7" s="160" customFormat="1" x14ac:dyDescent="0.35">
      <c r="A586" s="398"/>
      <c r="B586" s="399"/>
      <c r="C586" s="400"/>
      <c r="D586" s="409"/>
      <c r="E586" s="401"/>
      <c r="F586" s="411"/>
      <c r="G586" s="402">
        <f t="shared" si="44"/>
        <v>0</v>
      </c>
    </row>
    <row r="587" spans="1:7" s="160" customFormat="1" ht="46.5" x14ac:dyDescent="0.35">
      <c r="A587" s="398"/>
      <c r="B587" s="399"/>
      <c r="C587" s="400" t="s">
        <v>867</v>
      </c>
      <c r="D587" s="409">
        <v>12</v>
      </c>
      <c r="E587" s="401" t="s">
        <v>761</v>
      </c>
      <c r="F587" s="411"/>
      <c r="G587" s="402">
        <f t="shared" si="44"/>
        <v>0</v>
      </c>
    </row>
    <row r="588" spans="1:7" s="160" customFormat="1" x14ac:dyDescent="0.35">
      <c r="A588" s="398"/>
      <c r="B588" s="399"/>
      <c r="C588" s="400"/>
      <c r="D588" s="409"/>
      <c r="E588" s="401"/>
      <c r="F588" s="411"/>
      <c r="G588" s="402">
        <f>D588*F588</f>
        <v>0</v>
      </c>
    </row>
    <row r="589" spans="1:7" s="160" customFormat="1" x14ac:dyDescent="0.35">
      <c r="A589" s="398"/>
      <c r="B589" s="399"/>
      <c r="C589" s="400"/>
      <c r="D589" s="409"/>
      <c r="E589" s="401"/>
      <c r="F589" s="411"/>
      <c r="G589" s="402">
        <f t="shared" si="44"/>
        <v>0</v>
      </c>
    </row>
    <row r="590" spans="1:7" s="160" customFormat="1" x14ac:dyDescent="0.35">
      <c r="A590" s="398"/>
      <c r="B590" s="399"/>
      <c r="C590" s="400"/>
      <c r="D590" s="409"/>
      <c r="E590" s="401"/>
      <c r="F590" s="411"/>
      <c r="G590" s="402">
        <f t="shared" si="44"/>
        <v>0</v>
      </c>
    </row>
    <row r="591" spans="1:7" s="160" customFormat="1" x14ac:dyDescent="0.35">
      <c r="A591" s="398"/>
      <c r="B591" s="399"/>
      <c r="C591" s="400"/>
      <c r="D591" s="409"/>
      <c r="E591" s="401"/>
      <c r="F591" s="411"/>
      <c r="G591" s="402">
        <f t="shared" si="44"/>
        <v>0</v>
      </c>
    </row>
    <row r="592" spans="1:7" s="160" customFormat="1" x14ac:dyDescent="0.35">
      <c r="A592" s="398"/>
      <c r="B592" s="399"/>
      <c r="C592" s="400"/>
      <c r="D592" s="409"/>
      <c r="E592" s="401"/>
      <c r="F592" s="411"/>
      <c r="G592" s="402">
        <f t="shared" si="44"/>
        <v>0</v>
      </c>
    </row>
    <row r="593" spans="1:7" s="160" customFormat="1" x14ac:dyDescent="0.35">
      <c r="A593" s="398"/>
      <c r="B593" s="399"/>
      <c r="C593" s="400"/>
      <c r="D593" s="409"/>
      <c r="E593" s="401"/>
      <c r="F593" s="411"/>
      <c r="G593" s="402">
        <f t="shared" si="44"/>
        <v>0</v>
      </c>
    </row>
    <row r="594" spans="1:7" s="160" customFormat="1" x14ac:dyDescent="0.35">
      <c r="A594" s="398"/>
      <c r="B594" s="399"/>
      <c r="C594" s="400" t="s">
        <v>830</v>
      </c>
      <c r="D594" s="446">
        <v>1</v>
      </c>
      <c r="E594" s="401" t="s">
        <v>819</v>
      </c>
      <c r="F594" s="411"/>
      <c r="G594" s="402">
        <f t="shared" si="44"/>
        <v>0</v>
      </c>
    </row>
    <row r="595" spans="1:7" s="160" customFormat="1" x14ac:dyDescent="0.35">
      <c r="A595" s="398"/>
      <c r="B595" s="399"/>
      <c r="C595" s="400"/>
      <c r="D595" s="409"/>
      <c r="E595" s="401"/>
      <c r="F595" s="411"/>
      <c r="G595" s="402">
        <f t="shared" si="44"/>
        <v>0</v>
      </c>
    </row>
    <row r="596" spans="1:7" s="160" customFormat="1" x14ac:dyDescent="0.35">
      <c r="A596" s="398"/>
      <c r="B596" s="399"/>
      <c r="C596" s="400"/>
      <c r="D596" s="409"/>
      <c r="E596" s="401"/>
      <c r="F596" s="411"/>
      <c r="G596" s="402">
        <f t="shared" si="44"/>
        <v>0</v>
      </c>
    </row>
    <row r="597" spans="1:7" s="160" customFormat="1" x14ac:dyDescent="0.35">
      <c r="A597" s="398"/>
      <c r="B597" s="399"/>
      <c r="C597" s="400"/>
      <c r="D597" s="409"/>
      <c r="E597" s="401"/>
      <c r="F597" s="411"/>
      <c r="G597" s="402">
        <f t="shared" si="44"/>
        <v>0</v>
      </c>
    </row>
    <row r="598" spans="1:7" s="160" customFormat="1" x14ac:dyDescent="0.35">
      <c r="A598" s="398"/>
      <c r="B598" s="399"/>
      <c r="C598" s="400"/>
      <c r="D598" s="409"/>
      <c r="E598" s="401"/>
      <c r="F598" s="411"/>
      <c r="G598" s="402">
        <f t="shared" si="44"/>
        <v>0</v>
      </c>
    </row>
    <row r="599" spans="1:7" s="160" customFormat="1" x14ac:dyDescent="0.35">
      <c r="A599" s="398"/>
      <c r="B599" s="399"/>
      <c r="C599" s="400"/>
      <c r="D599" s="409"/>
      <c r="E599" s="401"/>
      <c r="F599" s="411"/>
      <c r="G599" s="402">
        <f t="shared" si="44"/>
        <v>0</v>
      </c>
    </row>
    <row r="600" spans="1:7" s="160" customFormat="1" x14ac:dyDescent="0.35">
      <c r="A600" s="398"/>
      <c r="B600" s="399"/>
      <c r="C600" s="400"/>
      <c r="D600" s="409"/>
      <c r="E600" s="401"/>
      <c r="F600" s="411"/>
      <c r="G600" s="402">
        <f t="shared" si="44"/>
        <v>0</v>
      </c>
    </row>
    <row r="601" spans="1:7" s="160" customFormat="1" x14ac:dyDescent="0.35">
      <c r="A601" s="398"/>
      <c r="B601" s="399"/>
      <c r="C601" s="400"/>
      <c r="D601" s="409"/>
      <c r="E601" s="401"/>
      <c r="F601" s="411"/>
      <c r="G601" s="402">
        <f t="shared" si="44"/>
        <v>0</v>
      </c>
    </row>
    <row r="602" spans="1:7" s="160" customFormat="1" x14ac:dyDescent="0.35">
      <c r="A602" s="398"/>
      <c r="B602" s="399"/>
      <c r="C602" s="400"/>
      <c r="D602" s="409"/>
      <c r="E602" s="401"/>
      <c r="F602" s="411"/>
      <c r="G602" s="402">
        <f t="shared" ref="G602:G619" si="45">ROUND(D602*F602,2)</f>
        <v>0</v>
      </c>
    </row>
    <row r="603" spans="1:7" s="160" customFormat="1" x14ac:dyDescent="0.35">
      <c r="A603" s="398"/>
      <c r="B603" s="399"/>
      <c r="C603" s="400"/>
      <c r="D603" s="409"/>
      <c r="E603" s="401"/>
      <c r="F603" s="411"/>
      <c r="G603" s="402">
        <f t="shared" si="45"/>
        <v>0</v>
      </c>
    </row>
    <row r="604" spans="1:7" s="160" customFormat="1" x14ac:dyDescent="0.35">
      <c r="A604" s="398"/>
      <c r="B604" s="399"/>
      <c r="C604" s="400"/>
      <c r="D604" s="409"/>
      <c r="E604" s="401"/>
      <c r="F604" s="411"/>
      <c r="G604" s="402">
        <f t="shared" si="45"/>
        <v>0</v>
      </c>
    </row>
    <row r="605" spans="1:7" s="160" customFormat="1" x14ac:dyDescent="0.35">
      <c r="A605" s="398"/>
      <c r="B605" s="399"/>
      <c r="C605" s="400"/>
      <c r="D605" s="409"/>
      <c r="E605" s="401"/>
      <c r="F605" s="411"/>
      <c r="G605" s="402">
        <f t="shared" si="45"/>
        <v>0</v>
      </c>
    </row>
    <row r="606" spans="1:7" s="160" customFormat="1" x14ac:dyDescent="0.35">
      <c r="A606" s="398"/>
      <c r="B606" s="399"/>
      <c r="C606" s="400"/>
      <c r="D606" s="409"/>
      <c r="E606" s="401"/>
      <c r="F606" s="411"/>
      <c r="G606" s="402">
        <f t="shared" si="45"/>
        <v>0</v>
      </c>
    </row>
    <row r="607" spans="1:7" s="160" customFormat="1" x14ac:dyDescent="0.35">
      <c r="A607" s="398"/>
      <c r="B607" s="399"/>
      <c r="C607" s="400"/>
      <c r="D607" s="409"/>
      <c r="E607" s="401"/>
      <c r="F607" s="411"/>
      <c r="G607" s="402">
        <f t="shared" si="45"/>
        <v>0</v>
      </c>
    </row>
    <row r="608" spans="1:7" s="160" customFormat="1" x14ac:dyDescent="0.35">
      <c r="A608" s="398"/>
      <c r="B608" s="399"/>
      <c r="C608" s="400"/>
      <c r="D608" s="409"/>
      <c r="E608" s="401"/>
      <c r="F608" s="411"/>
      <c r="G608" s="402">
        <f t="shared" si="45"/>
        <v>0</v>
      </c>
    </row>
    <row r="609" spans="1:7" s="160" customFormat="1" x14ac:dyDescent="0.35">
      <c r="A609" s="398"/>
      <c r="B609" s="399"/>
      <c r="C609" s="400"/>
      <c r="D609" s="409"/>
      <c r="E609" s="401"/>
      <c r="F609" s="411"/>
      <c r="G609" s="402">
        <f t="shared" si="45"/>
        <v>0</v>
      </c>
    </row>
    <row r="610" spans="1:7" s="160" customFormat="1" x14ac:dyDescent="0.35">
      <c r="A610" s="398"/>
      <c r="B610" s="399"/>
      <c r="C610" s="400"/>
      <c r="D610" s="409"/>
      <c r="E610" s="401"/>
      <c r="F610" s="411"/>
      <c r="G610" s="402">
        <f t="shared" si="45"/>
        <v>0</v>
      </c>
    </row>
    <row r="611" spans="1:7" s="160" customFormat="1" ht="24" thickBot="1" x14ac:dyDescent="0.4">
      <c r="A611" s="398"/>
      <c r="B611" s="399"/>
      <c r="C611" s="400"/>
      <c r="D611" s="409"/>
      <c r="E611" s="401"/>
      <c r="F611" s="411"/>
      <c r="G611" s="402">
        <f t="shared" si="45"/>
        <v>0</v>
      </c>
    </row>
    <row r="612" spans="1:7" s="160" customFormat="1" ht="24" thickBot="1" x14ac:dyDescent="0.4">
      <c r="A612" s="398"/>
      <c r="B612" s="399"/>
      <c r="C612" s="404" t="s">
        <v>760</v>
      </c>
      <c r="D612" s="409"/>
      <c r="E612" s="401"/>
      <c r="F612" s="411"/>
      <c r="G612" s="405">
        <f>SUM(G577:G611)</f>
        <v>0</v>
      </c>
    </row>
    <row r="613" spans="1:7" s="160" customFormat="1" x14ac:dyDescent="0.35">
      <c r="A613" s="398"/>
      <c r="B613" s="399"/>
      <c r="C613" s="400"/>
      <c r="D613" s="409"/>
      <c r="E613" s="401"/>
      <c r="F613" s="411"/>
      <c r="G613" s="402">
        <f t="shared" si="45"/>
        <v>0</v>
      </c>
    </row>
    <row r="614" spans="1:7" s="160" customFormat="1" x14ac:dyDescent="0.35">
      <c r="A614" s="398"/>
      <c r="B614" s="399"/>
      <c r="C614" s="400"/>
      <c r="D614" s="409"/>
      <c r="E614" s="401"/>
      <c r="F614" s="411"/>
      <c r="G614" s="402">
        <f t="shared" si="45"/>
        <v>0</v>
      </c>
    </row>
    <row r="615" spans="1:7" s="160" customFormat="1" x14ac:dyDescent="0.35">
      <c r="A615" s="398"/>
      <c r="B615" s="399"/>
      <c r="C615" s="400"/>
      <c r="D615" s="409"/>
      <c r="E615" s="401"/>
      <c r="F615" s="411"/>
      <c r="G615" s="402">
        <f t="shared" si="45"/>
        <v>0</v>
      </c>
    </row>
    <row r="616" spans="1:7" s="160" customFormat="1" x14ac:dyDescent="0.35">
      <c r="A616" s="398"/>
      <c r="B616" s="399"/>
      <c r="C616" s="400"/>
      <c r="D616" s="409"/>
      <c r="E616" s="401"/>
      <c r="F616" s="411"/>
      <c r="G616" s="402">
        <f t="shared" si="45"/>
        <v>0</v>
      </c>
    </row>
    <row r="617" spans="1:7" s="160" customFormat="1" x14ac:dyDescent="0.35">
      <c r="A617" s="398"/>
      <c r="B617" s="399"/>
      <c r="C617" s="400"/>
      <c r="D617" s="409"/>
      <c r="E617" s="401"/>
      <c r="F617" s="411"/>
      <c r="G617" s="402">
        <f t="shared" si="45"/>
        <v>0</v>
      </c>
    </row>
    <row r="618" spans="1:7" s="160" customFormat="1" x14ac:dyDescent="0.35">
      <c r="A618" s="398"/>
      <c r="B618" s="399"/>
      <c r="C618" s="400"/>
      <c r="D618" s="409"/>
      <c r="E618" s="401"/>
      <c r="F618" s="411"/>
      <c r="G618" s="402">
        <f t="shared" si="45"/>
        <v>0</v>
      </c>
    </row>
    <row r="619" spans="1:7" s="160" customFormat="1" ht="24" thickBot="1" x14ac:dyDescent="0.4">
      <c r="A619" s="398"/>
      <c r="B619" s="399"/>
      <c r="C619" s="400"/>
      <c r="D619" s="409"/>
      <c r="E619" s="401"/>
      <c r="F619" s="411"/>
      <c r="G619" s="402">
        <f t="shared" si="45"/>
        <v>0</v>
      </c>
    </row>
    <row r="620" spans="1:7" ht="18.75" customHeight="1" x14ac:dyDescent="0.35">
      <c r="A620" s="383"/>
      <c r="B620" s="384"/>
      <c r="C620" s="385"/>
      <c r="D620" s="386"/>
      <c r="E620" s="387"/>
      <c r="F620" s="410"/>
      <c r="G620" s="387"/>
    </row>
    <row r="621" spans="1:7" s="160" customFormat="1" x14ac:dyDescent="0.35">
      <c r="A621" s="388"/>
      <c r="B621" s="389"/>
      <c r="C621" s="390"/>
      <c r="D621" s="391"/>
      <c r="E621" s="391"/>
      <c r="F621" s="393" t="s">
        <v>2</v>
      </c>
      <c r="G621" s="393"/>
    </row>
    <row r="622" spans="1:7" s="160" customFormat="1" ht="24" thickBot="1" x14ac:dyDescent="0.4">
      <c r="A622" s="394"/>
      <c r="B622" s="395"/>
      <c r="C622" s="396" t="s">
        <v>753</v>
      </c>
      <c r="D622" s="397" t="s">
        <v>3</v>
      </c>
      <c r="E622" s="397" t="s">
        <v>1</v>
      </c>
      <c r="F622" s="397" t="s">
        <v>4</v>
      </c>
      <c r="G622" s="397" t="s">
        <v>5</v>
      </c>
    </row>
    <row r="623" spans="1:7" s="160" customFormat="1" ht="18" customHeight="1" x14ac:dyDescent="0.35">
      <c r="A623" s="398"/>
      <c r="B623" s="399"/>
      <c r="C623" s="400"/>
      <c r="D623" s="409"/>
      <c r="E623" s="401"/>
      <c r="F623" s="411"/>
      <c r="G623" s="402">
        <f t="shared" ref="G623:G624" si="46">ROUND(D623*F623,2)</f>
        <v>0</v>
      </c>
    </row>
    <row r="624" spans="1:7" s="160" customFormat="1" x14ac:dyDescent="0.35">
      <c r="A624" s="398"/>
      <c r="B624" s="399"/>
      <c r="C624" s="412" t="s">
        <v>869</v>
      </c>
      <c r="D624" s="409"/>
      <c r="E624" s="401"/>
      <c r="F624" s="411"/>
      <c r="G624" s="402">
        <f t="shared" si="46"/>
        <v>0</v>
      </c>
    </row>
    <row r="625" spans="1:7" s="160" customFormat="1" ht="19.5" customHeight="1" x14ac:dyDescent="0.35">
      <c r="A625" s="398"/>
      <c r="B625" s="399"/>
      <c r="C625" s="400"/>
      <c r="D625" s="409"/>
      <c r="E625" s="401"/>
      <c r="F625" s="411"/>
      <c r="G625" s="402">
        <f t="shared" ref="G625:G652" si="47">D625*F625</f>
        <v>0</v>
      </c>
    </row>
    <row r="626" spans="1:7" s="160" customFormat="1" ht="46.5" x14ac:dyDescent="0.35">
      <c r="A626" s="398"/>
      <c r="B626" s="399"/>
      <c r="C626" s="435" t="s">
        <v>871</v>
      </c>
      <c r="D626" s="442">
        <v>6</v>
      </c>
      <c r="E626" s="440" t="s">
        <v>761</v>
      </c>
      <c r="F626" s="438"/>
      <c r="G626" s="439">
        <f t="shared" si="47"/>
        <v>0</v>
      </c>
    </row>
    <row r="627" spans="1:7" s="160" customFormat="1" ht="17.25" customHeight="1" x14ac:dyDescent="0.35">
      <c r="A627" s="398"/>
      <c r="B627" s="399"/>
      <c r="C627" s="435"/>
      <c r="D627" s="436"/>
      <c r="E627" s="440"/>
      <c r="F627" s="438"/>
      <c r="G627" s="439">
        <f t="shared" si="47"/>
        <v>0</v>
      </c>
    </row>
    <row r="628" spans="1:7" s="160" customFormat="1" ht="46.5" x14ac:dyDescent="0.35">
      <c r="A628" s="398"/>
      <c r="B628" s="399"/>
      <c r="C628" s="435" t="s">
        <v>901</v>
      </c>
      <c r="D628" s="442">
        <v>6</v>
      </c>
      <c r="E628" s="440" t="s">
        <v>761</v>
      </c>
      <c r="F628" s="438"/>
      <c r="G628" s="439">
        <f t="shared" si="47"/>
        <v>0</v>
      </c>
    </row>
    <row r="629" spans="1:7" s="160" customFormat="1" ht="17.25" customHeight="1" x14ac:dyDescent="0.35">
      <c r="A629" s="398"/>
      <c r="B629" s="399"/>
      <c r="C629" s="435"/>
      <c r="D629" s="436"/>
      <c r="E629" s="440"/>
      <c r="F629" s="438"/>
      <c r="G629" s="439">
        <f t="shared" si="47"/>
        <v>0</v>
      </c>
    </row>
    <row r="630" spans="1:7" s="160" customFormat="1" ht="46.5" x14ac:dyDescent="0.35">
      <c r="A630" s="398"/>
      <c r="B630" s="399"/>
      <c r="C630" s="435" t="s">
        <v>874</v>
      </c>
      <c r="D630" s="442">
        <v>6</v>
      </c>
      <c r="E630" s="440" t="s">
        <v>761</v>
      </c>
      <c r="F630" s="438"/>
      <c r="G630" s="439">
        <f t="shared" si="47"/>
        <v>0</v>
      </c>
    </row>
    <row r="631" spans="1:7" s="160" customFormat="1" ht="17.25" customHeight="1" x14ac:dyDescent="0.35">
      <c r="A631" s="398"/>
      <c r="B631" s="399"/>
      <c r="C631" s="400"/>
      <c r="D631" s="409"/>
      <c r="E631" s="401"/>
      <c r="F631" s="411"/>
      <c r="G631" s="402">
        <f t="shared" si="47"/>
        <v>0</v>
      </c>
    </row>
    <row r="632" spans="1:7" s="160" customFormat="1" ht="46.5" x14ac:dyDescent="0.35">
      <c r="A632" s="398"/>
      <c r="B632" s="399"/>
      <c r="C632" s="400" t="s">
        <v>873</v>
      </c>
      <c r="D632" s="409">
        <v>6</v>
      </c>
      <c r="E632" s="401" t="s">
        <v>761</v>
      </c>
      <c r="F632" s="411"/>
      <c r="G632" s="402">
        <f t="shared" si="47"/>
        <v>0</v>
      </c>
    </row>
    <row r="633" spans="1:7" s="160" customFormat="1" ht="15.75" customHeight="1" x14ac:dyDescent="0.35">
      <c r="A633" s="398"/>
      <c r="B633" s="399"/>
      <c r="C633" s="400"/>
      <c r="D633" s="409"/>
      <c r="E633" s="401"/>
      <c r="F633" s="411"/>
      <c r="G633" s="402">
        <f t="shared" si="47"/>
        <v>0</v>
      </c>
    </row>
    <row r="634" spans="1:7" s="160" customFormat="1" ht="46.5" x14ac:dyDescent="0.35">
      <c r="A634" s="398"/>
      <c r="B634" s="399"/>
      <c r="C634" s="400" t="s">
        <v>875</v>
      </c>
      <c r="D634" s="409">
        <v>6</v>
      </c>
      <c r="E634" s="401" t="s">
        <v>761</v>
      </c>
      <c r="F634" s="411"/>
      <c r="G634" s="402">
        <f t="shared" si="47"/>
        <v>0</v>
      </c>
    </row>
    <row r="635" spans="1:7" s="160" customFormat="1" ht="18" customHeight="1" x14ac:dyDescent="0.35">
      <c r="A635" s="398"/>
      <c r="B635" s="399"/>
      <c r="C635" s="400"/>
      <c r="D635" s="409"/>
      <c r="E635" s="401"/>
      <c r="F635" s="411"/>
      <c r="G635" s="402">
        <f t="shared" si="47"/>
        <v>0</v>
      </c>
    </row>
    <row r="636" spans="1:7" s="160" customFormat="1" ht="93" x14ac:dyDescent="0.35">
      <c r="A636" s="398"/>
      <c r="B636" s="399"/>
      <c r="C636" s="400" t="s">
        <v>876</v>
      </c>
      <c r="D636" s="409">
        <v>6</v>
      </c>
      <c r="E636" s="401" t="s">
        <v>761</v>
      </c>
      <c r="F636" s="411"/>
      <c r="G636" s="402">
        <f t="shared" si="47"/>
        <v>0</v>
      </c>
    </row>
    <row r="637" spans="1:7" s="160" customFormat="1" ht="17.25" customHeight="1" x14ac:dyDescent="0.35">
      <c r="A637" s="398"/>
      <c r="B637" s="399"/>
      <c r="C637" s="400"/>
      <c r="D637" s="409"/>
      <c r="E637" s="401"/>
      <c r="F637" s="411"/>
      <c r="G637" s="402">
        <f t="shared" si="47"/>
        <v>0</v>
      </c>
    </row>
    <row r="638" spans="1:7" s="160" customFormat="1" ht="46.5" x14ac:dyDescent="0.35">
      <c r="A638" s="398"/>
      <c r="B638" s="399"/>
      <c r="C638" s="400" t="s">
        <v>877</v>
      </c>
      <c r="D638" s="409">
        <v>6</v>
      </c>
      <c r="E638" s="401" t="s">
        <v>761</v>
      </c>
      <c r="F638" s="411"/>
      <c r="G638" s="402">
        <f t="shared" si="47"/>
        <v>0</v>
      </c>
    </row>
    <row r="639" spans="1:7" s="160" customFormat="1" ht="14.25" customHeight="1" x14ac:dyDescent="0.35">
      <c r="A639" s="398"/>
      <c r="B639" s="399"/>
      <c r="C639" s="400"/>
      <c r="D639" s="409"/>
      <c r="E639" s="401"/>
      <c r="F639" s="411"/>
      <c r="G639" s="402">
        <f t="shared" si="47"/>
        <v>0</v>
      </c>
    </row>
    <row r="640" spans="1:7" s="160" customFormat="1" x14ac:dyDescent="0.35">
      <c r="A640" s="398"/>
      <c r="B640" s="399"/>
      <c r="C640" s="400" t="s">
        <v>878</v>
      </c>
      <c r="D640" s="409">
        <v>6</v>
      </c>
      <c r="E640" s="401" t="s">
        <v>761</v>
      </c>
      <c r="F640" s="411"/>
      <c r="G640" s="402">
        <f t="shared" si="47"/>
        <v>0</v>
      </c>
    </row>
    <row r="641" spans="1:7" s="160" customFormat="1" ht="15" customHeight="1" x14ac:dyDescent="0.35">
      <c r="A641" s="398"/>
      <c r="B641" s="399"/>
      <c r="C641" s="400"/>
      <c r="D641" s="409"/>
      <c r="E641" s="401"/>
      <c r="F641" s="411"/>
      <c r="G641" s="402">
        <f t="shared" si="47"/>
        <v>0</v>
      </c>
    </row>
    <row r="642" spans="1:7" s="160" customFormat="1" ht="46.5" x14ac:dyDescent="0.35">
      <c r="A642" s="398"/>
      <c r="B642" s="399"/>
      <c r="C642" s="400" t="s">
        <v>879</v>
      </c>
      <c r="D642" s="409">
        <v>6</v>
      </c>
      <c r="E642" s="401" t="s">
        <v>761</v>
      </c>
      <c r="F642" s="411"/>
      <c r="G642" s="402">
        <f t="shared" si="47"/>
        <v>0</v>
      </c>
    </row>
    <row r="643" spans="1:7" s="160" customFormat="1" ht="16.5" customHeight="1" x14ac:dyDescent="0.35">
      <c r="A643" s="398"/>
      <c r="B643" s="399"/>
      <c r="C643" s="400"/>
      <c r="D643" s="409"/>
      <c r="E643" s="401"/>
      <c r="F643" s="411"/>
      <c r="G643" s="402">
        <f t="shared" si="47"/>
        <v>0</v>
      </c>
    </row>
    <row r="644" spans="1:7" s="160" customFormat="1" ht="46.5" x14ac:dyDescent="0.35">
      <c r="A644" s="398"/>
      <c r="B644" s="399"/>
      <c r="C644" s="400" t="s">
        <v>880</v>
      </c>
      <c r="D644" s="409">
        <v>6</v>
      </c>
      <c r="E644" s="401" t="s">
        <v>761</v>
      </c>
      <c r="F644" s="411"/>
      <c r="G644" s="402">
        <f t="shared" si="47"/>
        <v>0</v>
      </c>
    </row>
    <row r="645" spans="1:7" s="160" customFormat="1" x14ac:dyDescent="0.35">
      <c r="A645" s="398"/>
      <c r="B645" s="399"/>
      <c r="C645" s="400"/>
      <c r="D645" s="409"/>
      <c r="E645" s="401"/>
      <c r="F645" s="411"/>
      <c r="G645" s="402">
        <f t="shared" si="47"/>
        <v>0</v>
      </c>
    </row>
    <row r="646" spans="1:7" s="160" customFormat="1" ht="69.75" x14ac:dyDescent="0.35">
      <c r="A646" s="398"/>
      <c r="B646" s="399"/>
      <c r="C646" s="400" t="s">
        <v>881</v>
      </c>
      <c r="D646" s="409">
        <v>30</v>
      </c>
      <c r="E646" s="401" t="s">
        <v>761</v>
      </c>
      <c r="F646" s="411"/>
      <c r="G646" s="402">
        <f t="shared" si="47"/>
        <v>0</v>
      </c>
    </row>
    <row r="647" spans="1:7" s="160" customFormat="1" x14ac:dyDescent="0.35">
      <c r="A647" s="398"/>
      <c r="B647" s="399"/>
      <c r="C647" s="400"/>
      <c r="D647" s="409"/>
      <c r="E647" s="401"/>
      <c r="F647" s="411"/>
      <c r="G647" s="402">
        <f t="shared" si="47"/>
        <v>0</v>
      </c>
    </row>
    <row r="648" spans="1:7" s="160" customFormat="1" ht="93" x14ac:dyDescent="0.35">
      <c r="A648" s="398"/>
      <c r="B648" s="399"/>
      <c r="C648" s="400" t="s">
        <v>902</v>
      </c>
      <c r="D648" s="409">
        <v>6</v>
      </c>
      <c r="E648" s="401" t="s">
        <v>761</v>
      </c>
      <c r="F648" s="411"/>
      <c r="G648" s="402">
        <f t="shared" si="47"/>
        <v>0</v>
      </c>
    </row>
    <row r="649" spans="1:7" s="160" customFormat="1" ht="15" customHeight="1" x14ac:dyDescent="0.35">
      <c r="A649" s="398"/>
      <c r="B649" s="399"/>
      <c r="C649" s="400"/>
      <c r="D649" s="409"/>
      <c r="E649" s="401"/>
      <c r="F649" s="411"/>
      <c r="G649" s="402">
        <f t="shared" si="47"/>
        <v>0</v>
      </c>
    </row>
    <row r="650" spans="1:7" s="160" customFormat="1" x14ac:dyDescent="0.35">
      <c r="A650" s="398"/>
      <c r="B650" s="399"/>
      <c r="C650" s="400" t="s">
        <v>830</v>
      </c>
      <c r="D650" s="409">
        <v>1</v>
      </c>
      <c r="E650" s="401" t="s">
        <v>819</v>
      </c>
      <c r="F650" s="411"/>
      <c r="G650" s="402">
        <f t="shared" si="47"/>
        <v>0</v>
      </c>
    </row>
    <row r="651" spans="1:7" s="160" customFormat="1" ht="15.75" customHeight="1" x14ac:dyDescent="0.35">
      <c r="A651" s="398"/>
      <c r="B651" s="399"/>
      <c r="C651" s="400"/>
      <c r="D651" s="409"/>
      <c r="E651" s="401"/>
      <c r="F651" s="411"/>
      <c r="G651" s="402">
        <f t="shared" si="47"/>
        <v>0</v>
      </c>
    </row>
    <row r="652" spans="1:7" s="160" customFormat="1" ht="46.5" x14ac:dyDescent="0.35">
      <c r="A652" s="398"/>
      <c r="B652" s="399"/>
      <c r="C652" s="435" t="s">
        <v>870</v>
      </c>
      <c r="D652" s="442">
        <v>1</v>
      </c>
      <c r="E652" s="440" t="s">
        <v>756</v>
      </c>
      <c r="F652" s="438"/>
      <c r="G652" s="439">
        <f t="shared" si="47"/>
        <v>0</v>
      </c>
    </row>
    <row r="653" spans="1:7" s="160" customFormat="1" ht="24" thickBot="1" x14ac:dyDescent="0.4">
      <c r="A653" s="398"/>
      <c r="B653" s="399"/>
      <c r="C653" s="400"/>
      <c r="D653" s="409"/>
      <c r="E653" s="401"/>
      <c r="F653" s="411"/>
      <c r="G653" s="402"/>
    </row>
    <row r="654" spans="1:7" s="160" customFormat="1" ht="24" thickBot="1" x14ac:dyDescent="0.4">
      <c r="A654" s="398"/>
      <c r="B654" s="399"/>
      <c r="C654" s="404" t="s">
        <v>760</v>
      </c>
      <c r="D654" s="409"/>
      <c r="E654" s="401"/>
      <c r="F654" s="411"/>
      <c r="G654" s="405">
        <f>SUM(G625:G653)</f>
        <v>0</v>
      </c>
    </row>
    <row r="655" spans="1:7" ht="18.75" customHeight="1" x14ac:dyDescent="0.35">
      <c r="A655" s="383"/>
      <c r="B655" s="384"/>
      <c r="C655" s="385"/>
      <c r="D655" s="386"/>
      <c r="E655" s="387"/>
      <c r="F655" s="410"/>
      <c r="G655" s="387"/>
    </row>
    <row r="656" spans="1:7" s="160" customFormat="1" x14ac:dyDescent="0.35">
      <c r="A656" s="388"/>
      <c r="B656" s="389"/>
      <c r="C656" s="390"/>
      <c r="D656" s="391"/>
      <c r="E656" s="391"/>
      <c r="F656" s="393" t="s">
        <v>2</v>
      </c>
      <c r="G656" s="393"/>
    </row>
    <row r="657" spans="1:7" s="160" customFormat="1" ht="24" thickBot="1" x14ac:dyDescent="0.4">
      <c r="A657" s="394"/>
      <c r="B657" s="395"/>
      <c r="C657" s="396" t="s">
        <v>753</v>
      </c>
      <c r="D657" s="397" t="s">
        <v>3</v>
      </c>
      <c r="E657" s="397" t="s">
        <v>1</v>
      </c>
      <c r="F657" s="397" t="s">
        <v>4</v>
      </c>
      <c r="G657" s="397" t="s">
        <v>5</v>
      </c>
    </row>
    <row r="658" spans="1:7" s="160" customFormat="1" ht="18" customHeight="1" x14ac:dyDescent="0.35">
      <c r="A658" s="398"/>
      <c r="B658" s="399"/>
      <c r="C658" s="400"/>
      <c r="D658" s="409"/>
      <c r="E658" s="401"/>
      <c r="F658" s="411"/>
      <c r="G658" s="402">
        <f t="shared" ref="G658:G659" si="48">ROUND(D658*F658,2)</f>
        <v>0</v>
      </c>
    </row>
    <row r="659" spans="1:7" s="160" customFormat="1" x14ac:dyDescent="0.35">
      <c r="A659" s="398"/>
      <c r="B659" s="399"/>
      <c r="C659" s="412" t="s">
        <v>882</v>
      </c>
      <c r="D659" s="409"/>
      <c r="E659" s="401"/>
      <c r="F659" s="411"/>
      <c r="G659" s="402">
        <f t="shared" si="48"/>
        <v>0</v>
      </c>
    </row>
    <row r="660" spans="1:7" s="160" customFormat="1" x14ac:dyDescent="0.35">
      <c r="A660" s="398"/>
      <c r="B660" s="399"/>
      <c r="C660" s="404"/>
      <c r="D660" s="409"/>
      <c r="E660" s="401"/>
      <c r="F660" s="411"/>
      <c r="G660" s="402"/>
    </row>
    <row r="661" spans="1:7" s="160" customFormat="1" x14ac:dyDescent="0.35">
      <c r="A661" s="398"/>
      <c r="B661" s="399"/>
      <c r="C661" s="404" t="s">
        <v>904</v>
      </c>
      <c r="D661" s="409"/>
      <c r="E661" s="401"/>
      <c r="F661" s="411"/>
      <c r="G661" s="402">
        <f>G25</f>
        <v>0</v>
      </c>
    </row>
    <row r="662" spans="1:7" s="160" customFormat="1" x14ac:dyDescent="0.35">
      <c r="A662" s="398"/>
      <c r="B662" s="399"/>
      <c r="C662" s="404"/>
      <c r="D662" s="409"/>
      <c r="E662" s="401"/>
      <c r="F662" s="411"/>
      <c r="G662" s="402"/>
    </row>
    <row r="663" spans="1:7" s="160" customFormat="1" x14ac:dyDescent="0.35">
      <c r="A663" s="398"/>
      <c r="B663" s="399"/>
      <c r="C663" s="404" t="s">
        <v>905</v>
      </c>
      <c r="D663" s="409"/>
      <c r="E663" s="401"/>
      <c r="F663" s="411"/>
      <c r="G663" s="402">
        <f>G49</f>
        <v>0</v>
      </c>
    </row>
    <row r="664" spans="1:7" s="160" customFormat="1" x14ac:dyDescent="0.35">
      <c r="A664" s="398"/>
      <c r="B664" s="399"/>
      <c r="C664" s="404"/>
      <c r="D664" s="409"/>
      <c r="E664" s="401"/>
      <c r="F664" s="411"/>
      <c r="G664" s="402"/>
    </row>
    <row r="665" spans="1:7" s="160" customFormat="1" x14ac:dyDescent="0.35">
      <c r="A665" s="398"/>
      <c r="B665" s="399"/>
      <c r="C665" s="404" t="s">
        <v>906</v>
      </c>
      <c r="D665" s="409"/>
      <c r="E665" s="401"/>
      <c r="F665" s="411"/>
      <c r="G665" s="402">
        <f>G75</f>
        <v>0</v>
      </c>
    </row>
    <row r="666" spans="1:7" s="160" customFormat="1" x14ac:dyDescent="0.35">
      <c r="A666" s="398"/>
      <c r="B666" s="399"/>
      <c r="C666" s="404"/>
      <c r="D666" s="409"/>
      <c r="E666" s="401"/>
      <c r="F666" s="411"/>
      <c r="G666" s="402"/>
    </row>
    <row r="667" spans="1:7" s="160" customFormat="1" x14ac:dyDescent="0.35">
      <c r="A667" s="398"/>
      <c r="B667" s="399"/>
      <c r="C667" s="404" t="s">
        <v>907</v>
      </c>
      <c r="D667" s="409"/>
      <c r="E667" s="401"/>
      <c r="F667" s="411"/>
      <c r="G667" s="402">
        <f>G99</f>
        <v>0</v>
      </c>
    </row>
    <row r="668" spans="1:7" s="160" customFormat="1" x14ac:dyDescent="0.35">
      <c r="A668" s="398"/>
      <c r="B668" s="399"/>
      <c r="C668" s="404"/>
      <c r="D668" s="409"/>
      <c r="E668" s="401"/>
      <c r="F668" s="411"/>
      <c r="G668" s="402"/>
    </row>
    <row r="669" spans="1:7" s="160" customFormat="1" x14ac:dyDescent="0.35">
      <c r="A669" s="398"/>
      <c r="B669" s="399"/>
      <c r="C669" s="404" t="s">
        <v>908</v>
      </c>
      <c r="D669" s="409"/>
      <c r="E669" s="401"/>
      <c r="F669" s="411"/>
      <c r="G669" s="402">
        <f>G128</f>
        <v>0</v>
      </c>
    </row>
    <row r="670" spans="1:7" s="160" customFormat="1" x14ac:dyDescent="0.35">
      <c r="A670" s="398"/>
      <c r="B670" s="399"/>
      <c r="C670" s="404"/>
      <c r="D670" s="409"/>
      <c r="E670" s="401"/>
      <c r="F670" s="411"/>
      <c r="G670" s="402"/>
    </row>
    <row r="671" spans="1:7" s="160" customFormat="1" x14ac:dyDescent="0.35">
      <c r="A671" s="398"/>
      <c r="B671" s="399"/>
      <c r="C671" s="404" t="s">
        <v>909</v>
      </c>
      <c r="D671" s="409"/>
      <c r="E671" s="401"/>
      <c r="F671" s="411"/>
      <c r="G671" s="402">
        <f>G155</f>
        <v>0</v>
      </c>
    </row>
    <row r="672" spans="1:7" s="160" customFormat="1" x14ac:dyDescent="0.35">
      <c r="A672" s="398"/>
      <c r="B672" s="399"/>
      <c r="C672" s="404"/>
      <c r="D672" s="409"/>
      <c r="E672" s="401"/>
      <c r="F672" s="411"/>
      <c r="G672" s="402"/>
    </row>
    <row r="673" spans="1:7" s="160" customFormat="1" x14ac:dyDescent="0.35">
      <c r="A673" s="398"/>
      <c r="B673" s="399"/>
      <c r="C673" s="404" t="s">
        <v>910</v>
      </c>
      <c r="D673" s="409"/>
      <c r="E673" s="401"/>
      <c r="F673" s="411"/>
      <c r="G673" s="402">
        <f>G176</f>
        <v>0</v>
      </c>
    </row>
    <row r="674" spans="1:7" s="160" customFormat="1" x14ac:dyDescent="0.35">
      <c r="A674" s="398"/>
      <c r="B674" s="399"/>
      <c r="C674" s="404"/>
      <c r="D674" s="409"/>
      <c r="E674" s="401"/>
      <c r="F674" s="411"/>
      <c r="G674" s="402"/>
    </row>
    <row r="675" spans="1:7" s="160" customFormat="1" x14ac:dyDescent="0.35">
      <c r="A675" s="398"/>
      <c r="B675" s="399"/>
      <c r="C675" s="404" t="s">
        <v>911</v>
      </c>
      <c r="D675" s="409"/>
      <c r="E675" s="401"/>
      <c r="F675" s="411"/>
      <c r="G675" s="402">
        <f>G203</f>
        <v>0</v>
      </c>
    </row>
    <row r="676" spans="1:7" s="160" customFormat="1" x14ac:dyDescent="0.35">
      <c r="A676" s="398"/>
      <c r="B676" s="399"/>
      <c r="C676" s="404"/>
      <c r="D676" s="409"/>
      <c r="E676" s="401"/>
      <c r="F676" s="411"/>
      <c r="G676" s="402"/>
    </row>
    <row r="677" spans="1:7" s="160" customFormat="1" x14ac:dyDescent="0.35">
      <c r="A677" s="398"/>
      <c r="B677" s="399"/>
      <c r="C677" s="404" t="s">
        <v>912</v>
      </c>
      <c r="D677" s="409"/>
      <c r="E677" s="401"/>
      <c r="F677" s="411"/>
      <c r="G677" s="402">
        <f>G241</f>
        <v>0</v>
      </c>
    </row>
    <row r="678" spans="1:7" s="160" customFormat="1" x14ac:dyDescent="0.35">
      <c r="A678" s="398"/>
      <c r="B678" s="399"/>
      <c r="C678" s="404"/>
      <c r="D678" s="409"/>
      <c r="E678" s="401"/>
      <c r="F678" s="411"/>
      <c r="G678" s="402"/>
    </row>
    <row r="679" spans="1:7" s="160" customFormat="1" x14ac:dyDescent="0.35">
      <c r="A679" s="398"/>
      <c r="B679" s="399"/>
      <c r="C679" s="404" t="s">
        <v>913</v>
      </c>
      <c r="D679" s="409"/>
      <c r="E679" s="401"/>
      <c r="F679" s="411"/>
      <c r="G679" s="402">
        <f>G276</f>
        <v>0</v>
      </c>
    </row>
    <row r="680" spans="1:7" s="160" customFormat="1" x14ac:dyDescent="0.35">
      <c r="A680" s="398"/>
      <c r="B680" s="399"/>
      <c r="C680" s="404"/>
      <c r="D680" s="409"/>
      <c r="E680" s="401"/>
      <c r="F680" s="411"/>
      <c r="G680" s="402"/>
    </row>
    <row r="681" spans="1:7" s="160" customFormat="1" x14ac:dyDescent="0.35">
      <c r="A681" s="398"/>
      <c r="B681" s="399"/>
      <c r="C681" s="404" t="s">
        <v>914</v>
      </c>
      <c r="D681" s="409"/>
      <c r="E681" s="401"/>
      <c r="F681" s="411"/>
      <c r="G681" s="402">
        <f>G323</f>
        <v>0</v>
      </c>
    </row>
    <row r="682" spans="1:7" s="160" customFormat="1" x14ac:dyDescent="0.35">
      <c r="A682" s="398"/>
      <c r="B682" s="399"/>
      <c r="C682" s="404"/>
      <c r="D682" s="409"/>
      <c r="E682" s="401"/>
      <c r="F682" s="411"/>
      <c r="G682" s="402"/>
    </row>
    <row r="683" spans="1:7" s="160" customFormat="1" x14ac:dyDescent="0.35">
      <c r="A683" s="398"/>
      <c r="B683" s="399"/>
      <c r="C683" s="404" t="s">
        <v>915</v>
      </c>
      <c r="D683" s="409"/>
      <c r="E683" s="401"/>
      <c r="F683" s="411"/>
      <c r="G683" s="402">
        <f>G371</f>
        <v>0</v>
      </c>
    </row>
    <row r="684" spans="1:7" s="160" customFormat="1" x14ac:dyDescent="0.35">
      <c r="A684" s="398"/>
      <c r="B684" s="399"/>
      <c r="C684" s="404"/>
      <c r="D684" s="409"/>
      <c r="E684" s="401"/>
      <c r="F684" s="411"/>
      <c r="G684" s="402"/>
    </row>
    <row r="685" spans="1:7" s="160" customFormat="1" x14ac:dyDescent="0.35">
      <c r="A685" s="398"/>
      <c r="B685" s="399"/>
      <c r="C685" s="404" t="s">
        <v>916</v>
      </c>
      <c r="D685" s="409"/>
      <c r="E685" s="401"/>
      <c r="F685" s="411"/>
      <c r="G685" s="402">
        <f>G409</f>
        <v>0</v>
      </c>
    </row>
    <row r="686" spans="1:7" s="160" customFormat="1" x14ac:dyDescent="0.35">
      <c r="A686" s="398"/>
      <c r="B686" s="399"/>
      <c r="C686" s="404"/>
      <c r="D686" s="409"/>
      <c r="E686" s="401"/>
      <c r="F686" s="411"/>
      <c r="G686" s="402"/>
    </row>
    <row r="687" spans="1:7" s="160" customFormat="1" x14ac:dyDescent="0.35">
      <c r="A687" s="398"/>
      <c r="B687" s="399"/>
      <c r="C687" s="404" t="s">
        <v>917</v>
      </c>
      <c r="D687" s="409"/>
      <c r="E687" s="401"/>
      <c r="F687" s="411"/>
      <c r="G687" s="402">
        <f>G435</f>
        <v>0</v>
      </c>
    </row>
    <row r="688" spans="1:7" s="160" customFormat="1" x14ac:dyDescent="0.35">
      <c r="A688" s="398"/>
      <c r="B688" s="399"/>
      <c r="C688" s="404"/>
      <c r="D688" s="409"/>
      <c r="E688" s="401"/>
      <c r="F688" s="411"/>
      <c r="G688" s="402"/>
    </row>
    <row r="689" spans="1:7" s="160" customFormat="1" x14ac:dyDescent="0.35">
      <c r="A689" s="398"/>
      <c r="B689" s="399"/>
      <c r="C689" s="404" t="s">
        <v>918</v>
      </c>
      <c r="D689" s="409"/>
      <c r="E689" s="401"/>
      <c r="F689" s="411"/>
      <c r="G689" s="402">
        <f>G461</f>
        <v>0</v>
      </c>
    </row>
    <row r="690" spans="1:7" s="160" customFormat="1" x14ac:dyDescent="0.35">
      <c r="A690" s="398"/>
      <c r="B690" s="399"/>
      <c r="C690" s="404"/>
      <c r="D690" s="409"/>
      <c r="E690" s="401"/>
      <c r="F690" s="411"/>
      <c r="G690" s="402"/>
    </row>
    <row r="691" spans="1:7" s="160" customFormat="1" x14ac:dyDescent="0.35">
      <c r="A691" s="398"/>
      <c r="B691" s="399"/>
      <c r="C691" s="404" t="s">
        <v>919</v>
      </c>
      <c r="D691" s="409"/>
      <c r="E691" s="401"/>
      <c r="F691" s="411"/>
      <c r="G691" s="402">
        <f>G491</f>
        <v>0</v>
      </c>
    </row>
    <row r="692" spans="1:7" s="160" customFormat="1" x14ac:dyDescent="0.35">
      <c r="A692" s="398"/>
      <c r="B692" s="399"/>
      <c r="C692" s="404"/>
      <c r="D692" s="409"/>
      <c r="E692" s="401"/>
      <c r="F692" s="411"/>
      <c r="G692" s="402"/>
    </row>
    <row r="693" spans="1:7" s="160" customFormat="1" x14ac:dyDescent="0.35">
      <c r="A693" s="398"/>
      <c r="B693" s="399"/>
      <c r="C693" s="404" t="s">
        <v>920</v>
      </c>
      <c r="D693" s="409"/>
      <c r="E693" s="401"/>
      <c r="F693" s="411"/>
      <c r="G693" s="402">
        <f>G532</f>
        <v>0</v>
      </c>
    </row>
    <row r="694" spans="1:7" s="160" customFormat="1" x14ac:dyDescent="0.35">
      <c r="A694" s="398"/>
      <c r="B694" s="399"/>
      <c r="C694" s="404"/>
      <c r="D694" s="409"/>
      <c r="E694" s="401"/>
      <c r="F694" s="411"/>
      <c r="G694" s="402"/>
    </row>
    <row r="695" spans="1:7" s="160" customFormat="1" x14ac:dyDescent="0.35">
      <c r="A695" s="398"/>
      <c r="B695" s="399"/>
      <c r="C695" s="404" t="s">
        <v>921</v>
      </c>
      <c r="D695" s="409"/>
      <c r="E695" s="401"/>
      <c r="F695" s="411"/>
      <c r="G695" s="402">
        <f>G612</f>
        <v>0</v>
      </c>
    </row>
    <row r="696" spans="1:7" s="160" customFormat="1" x14ac:dyDescent="0.35">
      <c r="A696" s="398"/>
      <c r="B696" s="399"/>
      <c r="C696" s="404"/>
      <c r="D696" s="409"/>
      <c r="E696" s="401"/>
      <c r="F696" s="411"/>
      <c r="G696" s="402"/>
    </row>
    <row r="697" spans="1:7" s="160" customFormat="1" x14ac:dyDescent="0.35">
      <c r="A697" s="398"/>
      <c r="B697" s="399"/>
      <c r="C697" s="404" t="s">
        <v>922</v>
      </c>
      <c r="D697" s="409"/>
      <c r="E697" s="401"/>
      <c r="F697" s="411"/>
      <c r="G697" s="402">
        <f>G654</f>
        <v>0</v>
      </c>
    </row>
    <row r="698" spans="1:7" s="160" customFormat="1" ht="24" thickBot="1" x14ac:dyDescent="0.4">
      <c r="A698" s="398"/>
      <c r="B698" s="399"/>
      <c r="C698" s="404"/>
      <c r="D698" s="409"/>
      <c r="E698" s="401"/>
      <c r="F698" s="411"/>
      <c r="G698" s="402"/>
    </row>
    <row r="699" spans="1:7" s="160" customFormat="1" ht="24" thickBot="1" x14ac:dyDescent="0.4">
      <c r="A699" s="398"/>
      <c r="B699" s="399"/>
      <c r="C699" s="415" t="s">
        <v>923</v>
      </c>
      <c r="D699" s="409"/>
      <c r="E699" s="401"/>
      <c r="F699" s="411"/>
      <c r="G699" s="405">
        <f>SUM(G659:G698)</f>
        <v>0</v>
      </c>
    </row>
    <row r="700" spans="1:7" s="160" customFormat="1" x14ac:dyDescent="0.35">
      <c r="A700" s="398"/>
      <c r="B700" s="399"/>
      <c r="C700" s="404"/>
      <c r="D700" s="409"/>
      <c r="E700" s="401"/>
      <c r="F700" s="411"/>
      <c r="G700" s="402"/>
    </row>
    <row r="701" spans="1:7" s="160" customFormat="1" x14ac:dyDescent="0.35">
      <c r="A701" s="398"/>
      <c r="B701" s="399"/>
      <c r="C701" s="404"/>
      <c r="D701" s="409"/>
      <c r="E701" s="401"/>
      <c r="F701" s="411"/>
      <c r="G701" s="402"/>
    </row>
    <row r="704" spans="1:7" x14ac:dyDescent="0.35">
      <c r="C704" s="400"/>
    </row>
  </sheetData>
  <pageMargins left="0.70866141732283472" right="0.70866141732283472" top="0.74803149606299213" bottom="0.74803149606299213" header="0.31496062992125984" footer="0.31496062992125984"/>
  <pageSetup paperSize="9" scale="61" orientation="portrait" useFirstPageNumber="1" r:id="rId1"/>
  <headerFooter>
    <oddHeader xml:space="preserve">&amp;L&amp;UΠΑΣΥΔΥ PLATRES APARTMENTS  
ΚΑΤΕΔΑΦΙΣΕΙΣ-ΜΕΤΑΤΡΟΠΕΣ
&amp;R
&amp;"-,Bold"&amp;14BLOCK 1&amp;"-,Regular"&amp;11
</oddHeader>
    <oddFooter>&amp;R2/&amp;P</oddFooter>
  </headerFooter>
  <rowBreaks count="19" manualBreakCount="19">
    <brk id="26" max="16383" man="1"/>
    <brk id="50" max="16383" man="1"/>
    <brk id="76" max="16383" man="1"/>
    <brk id="102" max="16383" man="1"/>
    <brk id="130" max="16383" man="1"/>
    <brk id="157" max="16383" man="1"/>
    <brk id="178" max="16383" man="1"/>
    <brk id="204" max="16383" man="1"/>
    <brk id="242" max="16383" man="1"/>
    <brk id="279" max="16383" man="1"/>
    <brk id="330" max="16383" man="1"/>
    <brk id="378" max="16383" man="1"/>
    <brk id="410" max="16383" man="1"/>
    <brk id="440" max="16383" man="1"/>
    <brk id="461" max="16383" man="1"/>
    <brk id="504" max="16383" man="1"/>
    <brk id="532" max="16383" man="1"/>
    <brk id="619" max="16383" man="1"/>
    <brk id="6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ADD91-6712-441A-9246-9F04A3ABAB99}">
  <sheetPr>
    <tabColor rgb="FFFFFF00"/>
  </sheetPr>
  <dimension ref="A1:G704"/>
  <sheetViews>
    <sheetView showZeros="0" view="pageBreakPreview" zoomScale="50" zoomScaleNormal="100" zoomScaleSheetLayoutView="50" workbookViewId="0">
      <selection activeCell="F337" sqref="F337:F345"/>
    </sheetView>
  </sheetViews>
  <sheetFormatPr defaultColWidth="8.85546875" defaultRowHeight="23.25" x14ac:dyDescent="0.35"/>
  <cols>
    <col min="1" max="1" width="3.42578125" style="406" customWidth="1"/>
    <col min="2" max="2" width="0.85546875" style="407" customWidth="1"/>
    <col min="3" max="3" width="61.5703125" style="408" customWidth="1"/>
    <col min="4" max="4" width="17.140625" style="393" customWidth="1"/>
    <col min="5" max="5" width="14.85546875" style="392" customWidth="1"/>
    <col min="6" max="6" width="20.7109375" style="393" customWidth="1"/>
    <col min="7" max="7" width="19.140625" style="392" customWidth="1"/>
    <col min="8" max="8" width="4" style="158" customWidth="1"/>
    <col min="9" max="16384" width="8.85546875" style="158"/>
  </cols>
  <sheetData>
    <row r="1" spans="1:7" x14ac:dyDescent="0.35">
      <c r="A1" s="383"/>
      <c r="B1" s="384"/>
      <c r="C1" s="385"/>
      <c r="D1" s="386"/>
      <c r="E1" s="387"/>
      <c r="F1" s="410"/>
      <c r="G1" s="387"/>
    </row>
    <row r="2" spans="1:7" s="160" customFormat="1" x14ac:dyDescent="0.35">
      <c r="A2" s="388"/>
      <c r="B2" s="389"/>
      <c r="C2" s="390"/>
      <c r="D2" s="391"/>
      <c r="E2" s="391"/>
      <c r="F2" s="393" t="s">
        <v>2</v>
      </c>
      <c r="G2" s="393"/>
    </row>
    <row r="3" spans="1:7" s="160" customFormat="1" ht="24" thickBot="1" x14ac:dyDescent="0.4">
      <c r="A3" s="394"/>
      <c r="B3" s="395"/>
      <c r="C3" s="396" t="s">
        <v>753</v>
      </c>
      <c r="D3" s="397" t="s">
        <v>3</v>
      </c>
      <c r="E3" s="397" t="s">
        <v>1</v>
      </c>
      <c r="F3" s="397" t="s">
        <v>4</v>
      </c>
      <c r="G3" s="397" t="s">
        <v>5</v>
      </c>
    </row>
    <row r="4" spans="1:7" s="160" customFormat="1" ht="14.25" customHeight="1" x14ac:dyDescent="0.35">
      <c r="A4" s="398"/>
      <c r="B4" s="399"/>
      <c r="C4" s="400"/>
      <c r="D4" s="409"/>
      <c r="E4" s="401"/>
      <c r="F4" s="411"/>
      <c r="G4" s="402">
        <f>ROUND(D4*F4,2)</f>
        <v>0</v>
      </c>
    </row>
    <row r="5" spans="1:7" s="160" customFormat="1" ht="46.5" x14ac:dyDescent="0.35">
      <c r="A5" s="398"/>
      <c r="B5" s="399"/>
      <c r="C5" s="403" t="s">
        <v>783</v>
      </c>
      <c r="D5" s="409"/>
      <c r="E5" s="401"/>
      <c r="F5" s="411"/>
      <c r="G5" s="402">
        <f>ROUND(D5*F5,2)</f>
        <v>0</v>
      </c>
    </row>
    <row r="6" spans="1:7" s="160" customFormat="1" ht="15.75" customHeight="1" x14ac:dyDescent="0.35">
      <c r="A6" s="398"/>
      <c r="B6" s="399"/>
      <c r="C6" s="403"/>
      <c r="D6" s="409"/>
      <c r="E6" s="401"/>
      <c r="F6" s="411"/>
      <c r="G6" s="402"/>
    </row>
    <row r="7" spans="1:7" s="160" customFormat="1" ht="116.25" x14ac:dyDescent="0.35">
      <c r="A7" s="398"/>
      <c r="B7" s="399"/>
      <c r="C7" s="403" t="s">
        <v>785</v>
      </c>
      <c r="D7" s="409"/>
      <c r="E7" s="401"/>
      <c r="F7" s="411"/>
      <c r="G7" s="402"/>
    </row>
    <row r="8" spans="1:7" s="160" customFormat="1" ht="18.75" customHeight="1" x14ac:dyDescent="0.35">
      <c r="A8" s="398"/>
      <c r="B8" s="399"/>
      <c r="C8" s="400"/>
      <c r="D8" s="409"/>
      <c r="E8" s="401"/>
      <c r="F8" s="411"/>
      <c r="G8" s="402">
        <f>ROUND(D8*F8,2)</f>
        <v>0</v>
      </c>
    </row>
    <row r="9" spans="1:7" s="160" customFormat="1" ht="46.5" x14ac:dyDescent="0.35">
      <c r="A9" s="398"/>
      <c r="B9" s="399"/>
      <c r="C9" s="400" t="s">
        <v>767</v>
      </c>
      <c r="D9" s="409">
        <v>1</v>
      </c>
      <c r="E9" s="401" t="s">
        <v>756</v>
      </c>
      <c r="F9" s="411"/>
      <c r="G9" s="402">
        <f>D9*F9</f>
        <v>0</v>
      </c>
    </row>
    <row r="10" spans="1:7" s="160" customFormat="1" ht="18" customHeight="1" x14ac:dyDescent="0.35">
      <c r="A10" s="398"/>
      <c r="B10" s="399"/>
      <c r="C10" s="400"/>
      <c r="D10" s="409"/>
      <c r="E10" s="401"/>
      <c r="F10" s="411"/>
      <c r="G10" s="402">
        <f>ROUND(D10*F10,2)</f>
        <v>0</v>
      </c>
    </row>
    <row r="11" spans="1:7" s="160" customFormat="1" ht="81.75" customHeight="1" x14ac:dyDescent="0.35">
      <c r="A11" s="398"/>
      <c r="B11" s="399"/>
      <c r="C11" s="400" t="s">
        <v>768</v>
      </c>
      <c r="D11" s="409">
        <v>1</v>
      </c>
      <c r="E11" s="401" t="s">
        <v>756</v>
      </c>
      <c r="F11" s="411"/>
      <c r="G11" s="402">
        <f>D11*F11</f>
        <v>0</v>
      </c>
    </row>
    <row r="12" spans="1:7" s="160" customFormat="1" ht="14.25" customHeight="1" x14ac:dyDescent="0.35">
      <c r="A12" s="398"/>
      <c r="B12" s="399"/>
      <c r="C12" s="400"/>
      <c r="D12" s="409"/>
      <c r="E12" s="401"/>
      <c r="F12" s="411"/>
      <c r="G12" s="402">
        <f>ROUND(D12*F12,2)</f>
        <v>0</v>
      </c>
    </row>
    <row r="13" spans="1:7" s="160" customFormat="1" ht="139.5" x14ac:dyDescent="0.35">
      <c r="A13" s="398"/>
      <c r="B13" s="399"/>
      <c r="C13" s="400" t="s">
        <v>763</v>
      </c>
      <c r="D13" s="409">
        <v>72</v>
      </c>
      <c r="E13" s="401" t="s">
        <v>26</v>
      </c>
      <c r="F13" s="411"/>
      <c r="G13" s="402">
        <f>D13*F13</f>
        <v>0</v>
      </c>
    </row>
    <row r="14" spans="1:7" s="160" customFormat="1" ht="18.75" customHeight="1" x14ac:dyDescent="0.35">
      <c r="A14" s="398"/>
      <c r="B14" s="399"/>
      <c r="C14" s="400"/>
      <c r="D14" s="409"/>
      <c r="E14" s="401"/>
      <c r="F14" s="411"/>
      <c r="G14" s="402">
        <f>ROUND(D14*F14,2)</f>
        <v>0</v>
      </c>
    </row>
    <row r="15" spans="1:7" s="160" customFormat="1" ht="123" customHeight="1" x14ac:dyDescent="0.35">
      <c r="A15" s="398"/>
      <c r="B15" s="399"/>
      <c r="C15" s="400" t="s">
        <v>754</v>
      </c>
      <c r="D15" s="409">
        <v>72</v>
      </c>
      <c r="E15" s="401" t="s">
        <v>26</v>
      </c>
      <c r="F15" s="411"/>
      <c r="G15" s="402">
        <f>D15*F15</f>
        <v>0</v>
      </c>
    </row>
    <row r="16" spans="1:7" s="160" customFormat="1" ht="17.25" customHeight="1" x14ac:dyDescent="0.35">
      <c r="A16" s="398"/>
      <c r="B16" s="399"/>
      <c r="C16" s="400"/>
      <c r="D16" s="409"/>
      <c r="E16" s="401"/>
      <c r="F16" s="411"/>
      <c r="G16" s="402">
        <f>ROUND(D16*F16,2)</f>
        <v>0</v>
      </c>
    </row>
    <row r="17" spans="1:7" s="160" customFormat="1" ht="46.5" x14ac:dyDescent="0.35">
      <c r="A17" s="398"/>
      <c r="B17" s="399"/>
      <c r="C17" s="400" t="s">
        <v>755</v>
      </c>
      <c r="D17" s="409">
        <v>18</v>
      </c>
      <c r="E17" s="414" t="s">
        <v>883</v>
      </c>
      <c r="F17" s="411"/>
      <c r="G17" s="402">
        <f>D17*F17</f>
        <v>0</v>
      </c>
    </row>
    <row r="18" spans="1:7" s="160" customFormat="1" ht="17.25" customHeight="1" x14ac:dyDescent="0.35">
      <c r="A18" s="398"/>
      <c r="B18" s="399"/>
      <c r="C18" s="400"/>
      <c r="D18" s="409"/>
      <c r="E18" s="401"/>
      <c r="F18" s="411"/>
      <c r="G18" s="402">
        <f>ROUND(D18*F18,2)</f>
        <v>0</v>
      </c>
    </row>
    <row r="19" spans="1:7" s="160" customFormat="1" ht="46.5" x14ac:dyDescent="0.35">
      <c r="A19" s="398"/>
      <c r="B19" s="399"/>
      <c r="C19" s="400" t="s">
        <v>757</v>
      </c>
      <c r="D19" s="409">
        <v>6</v>
      </c>
      <c r="E19" s="414" t="s">
        <v>884</v>
      </c>
      <c r="F19" s="411"/>
      <c r="G19" s="402">
        <f>D19*F19</f>
        <v>0</v>
      </c>
    </row>
    <row r="20" spans="1:7" s="160" customFormat="1" ht="16.5" customHeight="1" x14ac:dyDescent="0.35">
      <c r="A20" s="398"/>
      <c r="B20" s="399"/>
      <c r="C20" s="400"/>
      <c r="D20" s="409"/>
      <c r="E20" s="401"/>
      <c r="F20" s="411"/>
      <c r="G20" s="402">
        <f>ROUND(D20*F20,2)</f>
        <v>0</v>
      </c>
    </row>
    <row r="21" spans="1:7" s="160" customFormat="1" ht="116.25" x14ac:dyDescent="0.35">
      <c r="A21" s="398"/>
      <c r="B21" s="399"/>
      <c r="C21" s="400" t="s">
        <v>924</v>
      </c>
      <c r="D21" s="409">
        <v>94</v>
      </c>
      <c r="E21" s="401" t="s">
        <v>26</v>
      </c>
      <c r="F21" s="411"/>
      <c r="G21" s="402">
        <f>D21*F21</f>
        <v>0</v>
      </c>
    </row>
    <row r="22" spans="1:7" s="160" customFormat="1" ht="18.75" customHeight="1" x14ac:dyDescent="0.35">
      <c r="A22" s="398"/>
      <c r="B22" s="399"/>
      <c r="C22" s="400"/>
      <c r="D22" s="409"/>
      <c r="E22" s="401"/>
      <c r="F22" s="411"/>
      <c r="G22" s="402">
        <f>ROUND(D22*F22,2)</f>
        <v>0</v>
      </c>
    </row>
    <row r="23" spans="1:7" s="160" customFormat="1" ht="116.25" x14ac:dyDescent="0.35">
      <c r="A23" s="398"/>
      <c r="B23" s="399"/>
      <c r="C23" s="400" t="s">
        <v>759</v>
      </c>
      <c r="D23" s="409">
        <v>54</v>
      </c>
      <c r="E23" s="401" t="s">
        <v>761</v>
      </c>
      <c r="F23" s="411"/>
      <c r="G23" s="402">
        <f>D23*F23</f>
        <v>0</v>
      </c>
    </row>
    <row r="24" spans="1:7" s="160" customFormat="1" ht="24" thickBot="1" x14ac:dyDescent="0.4">
      <c r="A24" s="398"/>
      <c r="B24" s="399"/>
      <c r="C24" s="400"/>
      <c r="D24" s="409"/>
      <c r="E24" s="401"/>
      <c r="F24" s="411"/>
      <c r="G24" s="402">
        <f>ROUND(D24*F24,2)</f>
        <v>0</v>
      </c>
    </row>
    <row r="25" spans="1:7" s="160" customFormat="1" ht="24" thickBot="1" x14ac:dyDescent="0.4">
      <c r="A25" s="398"/>
      <c r="B25" s="399"/>
      <c r="C25" s="404" t="s">
        <v>760</v>
      </c>
      <c r="D25" s="409"/>
      <c r="E25" s="401"/>
      <c r="F25" s="411"/>
      <c r="G25" s="405">
        <f>SUM(G7:G24)</f>
        <v>0</v>
      </c>
    </row>
    <row r="26" spans="1:7" s="160" customFormat="1" ht="24" thickBot="1" x14ac:dyDescent="0.4">
      <c r="A26" s="398"/>
      <c r="B26" s="399"/>
      <c r="C26" s="400"/>
      <c r="D26" s="409"/>
      <c r="E26" s="401"/>
      <c r="F26" s="411"/>
      <c r="G26" s="402">
        <f>ROUND(D26*F26,2)</f>
        <v>0</v>
      </c>
    </row>
    <row r="27" spans="1:7" x14ac:dyDescent="0.35">
      <c r="A27" s="383"/>
      <c r="B27" s="384"/>
      <c r="C27" s="385"/>
      <c r="D27" s="386"/>
      <c r="E27" s="387"/>
      <c r="F27" s="410"/>
      <c r="G27" s="387"/>
    </row>
    <row r="28" spans="1:7" s="160" customFormat="1" x14ac:dyDescent="0.35">
      <c r="A28" s="388"/>
      <c r="B28" s="389"/>
      <c r="C28" s="390"/>
      <c r="D28" s="391"/>
      <c r="E28" s="391"/>
      <c r="F28" s="393" t="s">
        <v>2</v>
      </c>
      <c r="G28" s="393"/>
    </row>
    <row r="29" spans="1:7" s="160" customFormat="1" ht="24" thickBot="1" x14ac:dyDescent="0.4">
      <c r="A29" s="394"/>
      <c r="B29" s="395"/>
      <c r="C29" s="396" t="s">
        <v>753</v>
      </c>
      <c r="D29" s="397" t="s">
        <v>3</v>
      </c>
      <c r="E29" s="397" t="s">
        <v>1</v>
      </c>
      <c r="F29" s="397" t="s">
        <v>4</v>
      </c>
      <c r="G29" s="397" t="s">
        <v>5</v>
      </c>
    </row>
    <row r="30" spans="1:7" s="160" customFormat="1" x14ac:dyDescent="0.35">
      <c r="A30" s="398"/>
      <c r="B30" s="399"/>
      <c r="C30" s="400"/>
      <c r="D30" s="409"/>
      <c r="E30" s="401"/>
      <c r="F30" s="411"/>
      <c r="G30" s="402">
        <f>ROUND(D30*F30,2)</f>
        <v>0</v>
      </c>
    </row>
    <row r="31" spans="1:7" s="160" customFormat="1" ht="46.5" x14ac:dyDescent="0.35">
      <c r="A31" s="398"/>
      <c r="B31" s="399"/>
      <c r="C31" s="403" t="s">
        <v>784</v>
      </c>
      <c r="D31" s="409"/>
      <c r="E31" s="401"/>
      <c r="F31" s="411"/>
      <c r="G31" s="402">
        <f>ROUND(D31*F31,2)</f>
        <v>0</v>
      </c>
    </row>
    <row r="32" spans="1:7" s="160" customFormat="1" x14ac:dyDescent="0.35">
      <c r="A32" s="398"/>
      <c r="B32" s="399"/>
      <c r="C32" s="400"/>
      <c r="D32" s="409"/>
      <c r="E32" s="401"/>
      <c r="F32" s="411"/>
      <c r="G32" s="402">
        <f>ROUND(D32*F32,2)</f>
        <v>0</v>
      </c>
    </row>
    <row r="33" spans="1:7" s="160" customFormat="1" ht="116.25" x14ac:dyDescent="0.35">
      <c r="A33" s="398"/>
      <c r="B33" s="399"/>
      <c r="C33" s="400" t="s">
        <v>769</v>
      </c>
      <c r="D33" s="409">
        <v>48</v>
      </c>
      <c r="E33" s="401" t="s">
        <v>761</v>
      </c>
      <c r="F33" s="411"/>
      <c r="G33" s="402">
        <f>D33*F33</f>
        <v>0</v>
      </c>
    </row>
    <row r="34" spans="1:7" s="160" customFormat="1" x14ac:dyDescent="0.35">
      <c r="A34" s="398"/>
      <c r="B34" s="399"/>
      <c r="C34" s="400"/>
      <c r="D34" s="409"/>
      <c r="E34" s="401"/>
      <c r="F34" s="411"/>
      <c r="G34" s="402">
        <f>ROUND(D34*F34,2)</f>
        <v>0</v>
      </c>
    </row>
    <row r="35" spans="1:7" s="160" customFormat="1" ht="116.25" x14ac:dyDescent="0.35">
      <c r="A35" s="398"/>
      <c r="B35" s="399"/>
      <c r="C35" s="400" t="s">
        <v>762</v>
      </c>
      <c r="D35" s="409">
        <v>48</v>
      </c>
      <c r="E35" s="401" t="s">
        <v>761</v>
      </c>
      <c r="F35" s="411"/>
      <c r="G35" s="402">
        <f>D35*F35</f>
        <v>0</v>
      </c>
    </row>
    <row r="36" spans="1:7" s="160" customFormat="1" x14ac:dyDescent="0.35">
      <c r="A36" s="398"/>
      <c r="B36" s="399"/>
      <c r="C36" s="400"/>
      <c r="D36" s="409"/>
      <c r="E36" s="401"/>
      <c r="F36" s="411"/>
      <c r="G36" s="402">
        <f>ROUND(D36*F36,2)</f>
        <v>0</v>
      </c>
    </row>
    <row r="37" spans="1:7" s="160" customFormat="1" ht="46.5" x14ac:dyDescent="0.35">
      <c r="A37" s="398"/>
      <c r="B37" s="399"/>
      <c r="C37" s="400" t="s">
        <v>764</v>
      </c>
      <c r="D37" s="409">
        <v>12</v>
      </c>
      <c r="E37" s="401" t="s">
        <v>761</v>
      </c>
      <c r="F37" s="411"/>
      <c r="G37" s="402">
        <f>D37*F37</f>
        <v>0</v>
      </c>
    </row>
    <row r="38" spans="1:7" s="160" customFormat="1" x14ac:dyDescent="0.35">
      <c r="A38" s="398"/>
      <c r="B38" s="399"/>
      <c r="C38" s="400"/>
      <c r="D38" s="409"/>
      <c r="E38" s="401"/>
      <c r="F38" s="411"/>
      <c r="G38" s="402">
        <f>ROUND(D38*F38,2)</f>
        <v>0</v>
      </c>
    </row>
    <row r="39" spans="1:7" s="160" customFormat="1" ht="46.5" x14ac:dyDescent="0.35">
      <c r="A39" s="398"/>
      <c r="B39" s="399"/>
      <c r="C39" s="400" t="s">
        <v>765</v>
      </c>
      <c r="D39" s="409">
        <v>12</v>
      </c>
      <c r="E39" s="401" t="s">
        <v>761</v>
      </c>
      <c r="F39" s="411"/>
      <c r="G39" s="402">
        <f>D39*F39</f>
        <v>0</v>
      </c>
    </row>
    <row r="40" spans="1:7" s="160" customFormat="1" x14ac:dyDescent="0.35">
      <c r="A40" s="398"/>
      <c r="B40" s="399"/>
      <c r="C40" s="400"/>
      <c r="D40" s="409"/>
      <c r="E40" s="401"/>
      <c r="F40" s="411"/>
      <c r="G40" s="402">
        <f>ROUND(D40*F40,2)</f>
        <v>0</v>
      </c>
    </row>
    <row r="41" spans="1:7" s="160" customFormat="1" ht="46.5" x14ac:dyDescent="0.35">
      <c r="A41" s="398"/>
      <c r="B41" s="399"/>
      <c r="C41" s="400" t="s">
        <v>770</v>
      </c>
      <c r="D41" s="409">
        <v>6</v>
      </c>
      <c r="E41" s="401" t="s">
        <v>761</v>
      </c>
      <c r="F41" s="411"/>
      <c r="G41" s="402">
        <f>D41*F41</f>
        <v>0</v>
      </c>
    </row>
    <row r="42" spans="1:7" s="160" customFormat="1" x14ac:dyDescent="0.35">
      <c r="A42" s="398"/>
      <c r="B42" s="399"/>
      <c r="C42" s="400"/>
      <c r="D42" s="409"/>
      <c r="E42" s="401"/>
      <c r="F42" s="411"/>
      <c r="G42" s="402">
        <f>ROUND(D42*F42,2)</f>
        <v>0</v>
      </c>
    </row>
    <row r="43" spans="1:7" s="160" customFormat="1" ht="186" x14ac:dyDescent="0.35">
      <c r="A43" s="398"/>
      <c r="B43" s="399"/>
      <c r="C43" s="400" t="s">
        <v>766</v>
      </c>
      <c r="D43" s="409">
        <v>6</v>
      </c>
      <c r="E43" s="401" t="s">
        <v>761</v>
      </c>
      <c r="F43" s="411"/>
      <c r="G43" s="402">
        <f>D43*F43</f>
        <v>0</v>
      </c>
    </row>
    <row r="44" spans="1:7" s="160" customFormat="1" x14ac:dyDescent="0.35">
      <c r="A44" s="398"/>
      <c r="B44" s="399"/>
      <c r="C44" s="400"/>
      <c r="D44" s="409"/>
      <c r="E44" s="401"/>
      <c r="F44" s="411"/>
      <c r="G44" s="402">
        <f>ROUND(D44*F44,2)</f>
        <v>0</v>
      </c>
    </row>
    <row r="45" spans="1:7" s="160" customFormat="1" ht="69.75" x14ac:dyDescent="0.35">
      <c r="A45" s="398"/>
      <c r="B45" s="399"/>
      <c r="C45" s="400" t="s">
        <v>771</v>
      </c>
      <c r="D45" s="409">
        <v>34</v>
      </c>
      <c r="E45" s="401" t="s">
        <v>772</v>
      </c>
      <c r="F45" s="411"/>
      <c r="G45" s="402">
        <f>D45*F45</f>
        <v>0</v>
      </c>
    </row>
    <row r="46" spans="1:7" s="160" customFormat="1" x14ac:dyDescent="0.35">
      <c r="A46" s="398"/>
      <c r="B46" s="399"/>
      <c r="C46" s="400"/>
      <c r="D46" s="409"/>
      <c r="E46" s="401"/>
      <c r="F46" s="411"/>
      <c r="G46" s="402">
        <f>ROUND(D46*F46,2)</f>
        <v>0</v>
      </c>
    </row>
    <row r="47" spans="1:7" s="160" customFormat="1" ht="93" x14ac:dyDescent="0.35">
      <c r="A47" s="398"/>
      <c r="B47" s="399"/>
      <c r="C47" s="400" t="s">
        <v>773</v>
      </c>
      <c r="D47" s="409">
        <v>448</v>
      </c>
      <c r="E47" s="401" t="s">
        <v>772</v>
      </c>
      <c r="F47" s="411"/>
      <c r="G47" s="402">
        <f>D47*F47</f>
        <v>0</v>
      </c>
    </row>
    <row r="48" spans="1:7" s="160" customFormat="1" ht="24" thickBot="1" x14ac:dyDescent="0.4">
      <c r="A48" s="398"/>
      <c r="B48" s="399"/>
      <c r="C48" s="400"/>
      <c r="D48" s="409"/>
      <c r="E48" s="401"/>
      <c r="F48" s="411"/>
      <c r="G48" s="402">
        <f>ROUND(D48*F48,2)</f>
        <v>0</v>
      </c>
    </row>
    <row r="49" spans="1:7" s="160" customFormat="1" ht="24" thickBot="1" x14ac:dyDescent="0.4">
      <c r="A49" s="398"/>
      <c r="B49" s="399"/>
      <c r="C49" s="404" t="s">
        <v>760</v>
      </c>
      <c r="D49" s="409"/>
      <c r="E49" s="401"/>
      <c r="F49" s="411"/>
      <c r="G49" s="405">
        <f>SUM(G33:G48)</f>
        <v>0</v>
      </c>
    </row>
    <row r="50" spans="1:7" s="160" customFormat="1" ht="24" thickBot="1" x14ac:dyDescent="0.4">
      <c r="A50" s="398"/>
      <c r="B50" s="399"/>
      <c r="C50" s="400"/>
      <c r="D50" s="409"/>
      <c r="E50" s="401"/>
      <c r="F50" s="411"/>
      <c r="G50" s="402">
        <f>ROUND(D50*F50,2)</f>
        <v>0</v>
      </c>
    </row>
    <row r="51" spans="1:7" x14ac:dyDescent="0.35">
      <c r="A51" s="383"/>
      <c r="B51" s="384"/>
      <c r="C51" s="385"/>
      <c r="D51" s="386"/>
      <c r="E51" s="387"/>
      <c r="F51" s="410"/>
      <c r="G51" s="387"/>
    </row>
    <row r="52" spans="1:7" s="160" customFormat="1" x14ac:dyDescent="0.35">
      <c r="A52" s="388"/>
      <c r="B52" s="389"/>
      <c r="C52" s="390"/>
      <c r="D52" s="391"/>
      <c r="E52" s="391"/>
      <c r="F52" s="393" t="s">
        <v>2</v>
      </c>
      <c r="G52" s="393"/>
    </row>
    <row r="53" spans="1:7" s="160" customFormat="1" ht="24" thickBot="1" x14ac:dyDescent="0.4">
      <c r="A53" s="394"/>
      <c r="B53" s="395"/>
      <c r="C53" s="396" t="s">
        <v>753</v>
      </c>
      <c r="D53" s="397" t="s">
        <v>3</v>
      </c>
      <c r="E53" s="397" t="s">
        <v>1</v>
      </c>
      <c r="F53" s="397" t="s">
        <v>4</v>
      </c>
      <c r="G53" s="397" t="s">
        <v>5</v>
      </c>
    </row>
    <row r="54" spans="1:7" s="160" customFormat="1" x14ac:dyDescent="0.35">
      <c r="A54" s="398"/>
      <c r="B54" s="399"/>
      <c r="C54" s="400"/>
      <c r="D54" s="409"/>
      <c r="E54" s="401"/>
      <c r="F54" s="411"/>
      <c r="G54" s="402">
        <f>ROUND(D54*F54,2)</f>
        <v>0</v>
      </c>
    </row>
    <row r="55" spans="1:7" s="160" customFormat="1" ht="46.5" x14ac:dyDescent="0.35">
      <c r="A55" s="398"/>
      <c r="B55" s="399"/>
      <c r="C55" s="403" t="s">
        <v>784</v>
      </c>
      <c r="D55" s="409"/>
      <c r="E55" s="401"/>
      <c r="F55" s="411"/>
      <c r="G55" s="402">
        <f>ROUND(D55*F55,2)</f>
        <v>0</v>
      </c>
    </row>
    <row r="56" spans="1:7" s="160" customFormat="1" x14ac:dyDescent="0.35">
      <c r="A56" s="398"/>
      <c r="B56" s="399"/>
      <c r="C56" s="400"/>
      <c r="D56" s="409"/>
      <c r="E56" s="401"/>
      <c r="F56" s="411"/>
      <c r="G56" s="402">
        <f>ROUND(D56*F56,2)</f>
        <v>0</v>
      </c>
    </row>
    <row r="57" spans="1:7" s="160" customFormat="1" ht="116.25" x14ac:dyDescent="0.35">
      <c r="A57" s="398"/>
      <c r="B57" s="399"/>
      <c r="C57" s="400" t="s">
        <v>890</v>
      </c>
      <c r="D57" s="409">
        <v>130</v>
      </c>
      <c r="E57" s="401" t="s">
        <v>772</v>
      </c>
      <c r="F57" s="411"/>
      <c r="G57" s="402">
        <f>D57*F57</f>
        <v>0</v>
      </c>
    </row>
    <row r="58" spans="1:7" s="160" customFormat="1" x14ac:dyDescent="0.35">
      <c r="A58" s="398"/>
      <c r="B58" s="399"/>
      <c r="C58" s="400"/>
      <c r="D58" s="409"/>
      <c r="E58" s="401"/>
      <c r="F58" s="411"/>
      <c r="G58" s="402">
        <f t="shared" ref="G58:G76" si="0">ROUND(D58*F58,2)</f>
        <v>0</v>
      </c>
    </row>
    <row r="59" spans="1:7" s="160" customFormat="1" ht="69.75" x14ac:dyDescent="0.35">
      <c r="A59" s="398"/>
      <c r="B59" s="399"/>
      <c r="C59" s="400" t="s">
        <v>832</v>
      </c>
      <c r="D59" s="409">
        <v>130</v>
      </c>
      <c r="E59" s="401" t="s">
        <v>772</v>
      </c>
      <c r="F59" s="411"/>
      <c r="G59" s="402">
        <f>D59*F59</f>
        <v>0</v>
      </c>
    </row>
    <row r="60" spans="1:7" s="160" customFormat="1" x14ac:dyDescent="0.35">
      <c r="A60" s="398"/>
      <c r="B60" s="399"/>
      <c r="C60" s="400"/>
      <c r="D60" s="409"/>
      <c r="E60" s="401"/>
      <c r="F60" s="411"/>
      <c r="G60" s="402">
        <f t="shared" si="0"/>
        <v>0</v>
      </c>
    </row>
    <row r="61" spans="1:7" s="160" customFormat="1" ht="46.5" x14ac:dyDescent="0.35">
      <c r="A61" s="398"/>
      <c r="B61" s="399"/>
      <c r="C61" s="400" t="s">
        <v>774</v>
      </c>
      <c r="D61" s="409">
        <v>130</v>
      </c>
      <c r="E61" s="401" t="s">
        <v>772</v>
      </c>
      <c r="F61" s="411"/>
      <c r="G61" s="402">
        <f>D61*F61</f>
        <v>0</v>
      </c>
    </row>
    <row r="62" spans="1:7" s="160" customFormat="1" x14ac:dyDescent="0.35">
      <c r="A62" s="398"/>
      <c r="B62" s="399"/>
      <c r="C62" s="400"/>
      <c r="D62" s="409"/>
      <c r="E62" s="401"/>
      <c r="F62" s="411"/>
      <c r="G62" s="402">
        <f t="shared" si="0"/>
        <v>0</v>
      </c>
    </row>
    <row r="63" spans="1:7" s="160" customFormat="1" ht="93" x14ac:dyDescent="0.35">
      <c r="A63" s="398"/>
      <c r="B63" s="399"/>
      <c r="C63" s="400" t="s">
        <v>775</v>
      </c>
      <c r="D63" s="409">
        <v>76</v>
      </c>
      <c r="E63" s="401" t="s">
        <v>772</v>
      </c>
      <c r="F63" s="411"/>
      <c r="G63" s="402">
        <f>D63*F63</f>
        <v>0</v>
      </c>
    </row>
    <row r="64" spans="1:7" s="160" customFormat="1" x14ac:dyDescent="0.35">
      <c r="A64" s="398"/>
      <c r="B64" s="399"/>
      <c r="C64" s="400"/>
      <c r="D64" s="409"/>
      <c r="E64" s="401"/>
      <c r="F64" s="411"/>
      <c r="G64" s="402">
        <f t="shared" si="0"/>
        <v>0</v>
      </c>
    </row>
    <row r="65" spans="1:7" s="160" customFormat="1" ht="46.5" x14ac:dyDescent="0.35">
      <c r="A65" s="398"/>
      <c r="B65" s="399"/>
      <c r="C65" s="400" t="s">
        <v>776</v>
      </c>
      <c r="D65" s="409">
        <v>76</v>
      </c>
      <c r="E65" s="401" t="s">
        <v>772</v>
      </c>
      <c r="F65" s="411"/>
      <c r="G65" s="402">
        <f>D65*F65</f>
        <v>0</v>
      </c>
    </row>
    <row r="66" spans="1:7" s="160" customFormat="1" x14ac:dyDescent="0.35">
      <c r="A66" s="398"/>
      <c r="B66" s="399"/>
      <c r="C66" s="400"/>
      <c r="D66" s="409"/>
      <c r="E66" s="401"/>
      <c r="F66" s="411"/>
      <c r="G66" s="402">
        <f t="shared" si="0"/>
        <v>0</v>
      </c>
    </row>
    <row r="67" spans="1:7" s="160" customFormat="1" ht="116.25" x14ac:dyDescent="0.35">
      <c r="A67" s="398"/>
      <c r="B67" s="399"/>
      <c r="C67" s="400" t="s">
        <v>781</v>
      </c>
      <c r="D67" s="409">
        <v>252</v>
      </c>
      <c r="E67" s="401" t="s">
        <v>772</v>
      </c>
      <c r="F67" s="411"/>
      <c r="G67" s="402">
        <f>D67*F67</f>
        <v>0</v>
      </c>
    </row>
    <row r="68" spans="1:7" s="160" customFormat="1" x14ac:dyDescent="0.35">
      <c r="A68" s="398"/>
      <c r="B68" s="399"/>
      <c r="C68" s="400"/>
      <c r="D68" s="409"/>
      <c r="E68" s="401"/>
      <c r="F68" s="411"/>
      <c r="G68" s="402">
        <f t="shared" si="0"/>
        <v>0</v>
      </c>
    </row>
    <row r="69" spans="1:7" s="160" customFormat="1" ht="116.25" x14ac:dyDescent="0.35">
      <c r="A69" s="398"/>
      <c r="B69" s="399"/>
      <c r="C69" s="400" t="s">
        <v>782</v>
      </c>
      <c r="D69" s="409">
        <v>144</v>
      </c>
      <c r="E69" s="401" t="s">
        <v>772</v>
      </c>
      <c r="F69" s="411"/>
      <c r="G69" s="402">
        <f>D69*F69</f>
        <v>0</v>
      </c>
    </row>
    <row r="70" spans="1:7" s="160" customFormat="1" x14ac:dyDescent="0.35">
      <c r="A70" s="398"/>
      <c r="B70" s="399"/>
      <c r="C70" s="400"/>
      <c r="D70" s="409"/>
      <c r="E70" s="401"/>
      <c r="F70" s="411"/>
      <c r="G70" s="402">
        <f t="shared" si="0"/>
        <v>0</v>
      </c>
    </row>
    <row r="71" spans="1:7" s="160" customFormat="1" ht="93" x14ac:dyDescent="0.35">
      <c r="A71" s="398"/>
      <c r="B71" s="399"/>
      <c r="C71" s="400" t="s">
        <v>864</v>
      </c>
      <c r="D71" s="409">
        <v>1</v>
      </c>
      <c r="E71" s="401" t="s">
        <v>761</v>
      </c>
      <c r="F71" s="411"/>
      <c r="G71" s="402">
        <f>D71*F71</f>
        <v>0</v>
      </c>
    </row>
    <row r="72" spans="1:7" s="160" customFormat="1" x14ac:dyDescent="0.35">
      <c r="A72" s="398"/>
      <c r="B72" s="399"/>
      <c r="C72" s="400"/>
      <c r="D72" s="409"/>
      <c r="E72" s="401"/>
      <c r="F72" s="411"/>
      <c r="G72" s="402">
        <f t="shared" si="0"/>
        <v>0</v>
      </c>
    </row>
    <row r="73" spans="1:7" s="160" customFormat="1" x14ac:dyDescent="0.35">
      <c r="A73" s="398"/>
      <c r="B73" s="399"/>
      <c r="C73" s="400"/>
      <c r="D73" s="409"/>
      <c r="E73" s="401"/>
      <c r="F73" s="411"/>
      <c r="G73" s="402">
        <f t="shared" si="0"/>
        <v>0</v>
      </c>
    </row>
    <row r="74" spans="1:7" s="160" customFormat="1" ht="24" thickBot="1" x14ac:dyDescent="0.4">
      <c r="A74" s="398"/>
      <c r="B74" s="399"/>
      <c r="C74" s="400"/>
      <c r="D74" s="409"/>
      <c r="E74" s="401"/>
      <c r="F74" s="411"/>
      <c r="G74" s="402">
        <f t="shared" si="0"/>
        <v>0</v>
      </c>
    </row>
    <row r="75" spans="1:7" s="160" customFormat="1" ht="24" thickBot="1" x14ac:dyDescent="0.4">
      <c r="A75" s="398"/>
      <c r="B75" s="399"/>
      <c r="C75" s="404" t="s">
        <v>760</v>
      </c>
      <c r="D75" s="409"/>
      <c r="E75" s="401"/>
      <c r="F75" s="411"/>
      <c r="G75" s="405">
        <f>SUM(G56:G74)</f>
        <v>0</v>
      </c>
    </row>
    <row r="76" spans="1:7" s="160" customFormat="1" ht="24" thickBot="1" x14ac:dyDescent="0.4">
      <c r="A76" s="398"/>
      <c r="B76" s="399"/>
      <c r="C76" s="400"/>
      <c r="D76" s="409"/>
      <c r="E76" s="401"/>
      <c r="F76" s="411"/>
      <c r="G76" s="402">
        <f t="shared" si="0"/>
        <v>0</v>
      </c>
    </row>
    <row r="77" spans="1:7" x14ac:dyDescent="0.35">
      <c r="A77" s="383"/>
      <c r="B77" s="384"/>
      <c r="C77" s="385"/>
      <c r="D77" s="386"/>
      <c r="E77" s="387"/>
      <c r="F77" s="410"/>
      <c r="G77" s="387"/>
    </row>
    <row r="78" spans="1:7" s="160" customFormat="1" x14ac:dyDescent="0.35">
      <c r="A78" s="388"/>
      <c r="B78" s="389"/>
      <c r="C78" s="390"/>
      <c r="D78" s="391"/>
      <c r="E78" s="391"/>
      <c r="F78" s="393" t="s">
        <v>2</v>
      </c>
      <c r="G78" s="393"/>
    </row>
    <row r="79" spans="1:7" s="160" customFormat="1" ht="24" thickBot="1" x14ac:dyDescent="0.4">
      <c r="A79" s="394"/>
      <c r="B79" s="395"/>
      <c r="C79" s="396" t="s">
        <v>753</v>
      </c>
      <c r="D79" s="397" t="s">
        <v>3</v>
      </c>
      <c r="E79" s="397" t="s">
        <v>1</v>
      </c>
      <c r="F79" s="397" t="s">
        <v>4</v>
      </c>
      <c r="G79" s="397" t="s">
        <v>5</v>
      </c>
    </row>
    <row r="80" spans="1:7" s="160" customFormat="1" x14ac:dyDescent="0.35">
      <c r="A80" s="398"/>
      <c r="B80" s="399"/>
      <c r="C80" s="400"/>
      <c r="D80" s="409"/>
      <c r="E80" s="401"/>
      <c r="F80" s="411"/>
      <c r="G80" s="402">
        <f t="shared" ref="G80:G130" si="1">ROUND(D80*F80,2)</f>
        <v>0</v>
      </c>
    </row>
    <row r="81" spans="1:7" s="160" customFormat="1" ht="46.5" x14ac:dyDescent="0.35">
      <c r="A81" s="398"/>
      <c r="B81" s="399"/>
      <c r="C81" s="403" t="s">
        <v>784</v>
      </c>
      <c r="D81" s="409"/>
      <c r="E81" s="401"/>
      <c r="F81" s="411"/>
      <c r="G81" s="402">
        <f t="shared" si="1"/>
        <v>0</v>
      </c>
    </row>
    <row r="82" spans="1:7" s="160" customFormat="1" ht="18.75" customHeight="1" x14ac:dyDescent="0.35">
      <c r="A82" s="398"/>
      <c r="B82" s="399"/>
      <c r="C82" s="400"/>
      <c r="D82" s="409"/>
      <c r="E82" s="401"/>
      <c r="F82" s="411"/>
      <c r="G82" s="402">
        <f t="shared" si="1"/>
        <v>0</v>
      </c>
    </row>
    <row r="83" spans="1:7" s="160" customFormat="1" ht="139.5" x14ac:dyDescent="0.35">
      <c r="A83" s="398"/>
      <c r="B83" s="399"/>
      <c r="C83" s="400" t="s">
        <v>778</v>
      </c>
      <c r="D83" s="409">
        <v>6</v>
      </c>
      <c r="E83" s="401" t="s">
        <v>777</v>
      </c>
      <c r="F83" s="411"/>
      <c r="G83" s="402">
        <f>D83*F83</f>
        <v>0</v>
      </c>
    </row>
    <row r="84" spans="1:7" s="160" customFormat="1" x14ac:dyDescent="0.35">
      <c r="A84" s="398"/>
      <c r="B84" s="399"/>
      <c r="C84" s="400"/>
      <c r="D84" s="409"/>
      <c r="E84" s="401"/>
      <c r="F84" s="411"/>
      <c r="G84" s="402">
        <f t="shared" si="1"/>
        <v>0</v>
      </c>
    </row>
    <row r="85" spans="1:7" s="160" customFormat="1" ht="116.25" x14ac:dyDescent="0.35">
      <c r="A85" s="398"/>
      <c r="B85" s="399"/>
      <c r="C85" s="400" t="s">
        <v>779</v>
      </c>
      <c r="D85" s="409">
        <v>6</v>
      </c>
      <c r="E85" s="401" t="s">
        <v>777</v>
      </c>
      <c r="F85" s="411"/>
      <c r="G85" s="402">
        <f>D85*F85</f>
        <v>0</v>
      </c>
    </row>
    <row r="86" spans="1:7" s="160" customFormat="1" x14ac:dyDescent="0.35">
      <c r="A86" s="398"/>
      <c r="B86" s="399"/>
      <c r="C86" s="400"/>
      <c r="D86" s="409"/>
      <c r="E86" s="401"/>
      <c r="F86" s="411"/>
      <c r="G86" s="402">
        <f t="shared" si="1"/>
        <v>0</v>
      </c>
    </row>
    <row r="87" spans="1:7" s="160" customFormat="1" ht="139.5" x14ac:dyDescent="0.35">
      <c r="A87" s="398"/>
      <c r="B87" s="399"/>
      <c r="C87" s="400" t="s">
        <v>780</v>
      </c>
      <c r="D87" s="409">
        <v>6</v>
      </c>
      <c r="E87" s="401" t="s">
        <v>777</v>
      </c>
      <c r="F87" s="411"/>
      <c r="G87" s="402">
        <f>D87*F87</f>
        <v>0</v>
      </c>
    </row>
    <row r="88" spans="1:7" s="160" customFormat="1" x14ac:dyDescent="0.35">
      <c r="A88" s="398"/>
      <c r="B88" s="399"/>
      <c r="C88" s="400"/>
      <c r="D88" s="409"/>
      <c r="E88" s="401"/>
      <c r="F88" s="411"/>
      <c r="G88" s="402">
        <f t="shared" si="1"/>
        <v>0</v>
      </c>
    </row>
    <row r="89" spans="1:7" s="160" customFormat="1" ht="116.25" x14ac:dyDescent="0.35">
      <c r="A89" s="398"/>
      <c r="B89" s="399"/>
      <c r="C89" s="400" t="s">
        <v>834</v>
      </c>
      <c r="D89" s="409">
        <v>72</v>
      </c>
      <c r="E89" s="401" t="s">
        <v>26</v>
      </c>
      <c r="F89" s="411"/>
      <c r="G89" s="402">
        <f>D89*F89</f>
        <v>0</v>
      </c>
    </row>
    <row r="90" spans="1:7" s="160" customFormat="1" x14ac:dyDescent="0.35">
      <c r="A90" s="398"/>
      <c r="B90" s="399"/>
      <c r="C90" s="400"/>
      <c r="D90" s="409"/>
      <c r="E90" s="401"/>
      <c r="F90" s="411"/>
      <c r="G90" s="402">
        <f t="shared" si="1"/>
        <v>0</v>
      </c>
    </row>
    <row r="91" spans="1:7" s="160" customFormat="1" ht="162.75" x14ac:dyDescent="0.35">
      <c r="A91" s="398"/>
      <c r="B91" s="399"/>
      <c r="C91" s="400" t="s">
        <v>868</v>
      </c>
      <c r="D91" s="409">
        <v>6</v>
      </c>
      <c r="E91" s="401" t="s">
        <v>777</v>
      </c>
      <c r="F91" s="411"/>
      <c r="G91" s="402">
        <f>D91*F91</f>
        <v>0</v>
      </c>
    </row>
    <row r="92" spans="1:7" s="160" customFormat="1" x14ac:dyDescent="0.35">
      <c r="A92" s="398"/>
      <c r="B92" s="399"/>
      <c r="C92" s="400"/>
      <c r="D92" s="409"/>
      <c r="E92" s="401"/>
      <c r="F92" s="411"/>
      <c r="G92" s="402">
        <f t="shared" si="1"/>
        <v>0</v>
      </c>
    </row>
    <row r="93" spans="1:7" s="160" customFormat="1" x14ac:dyDescent="0.35">
      <c r="A93" s="398"/>
      <c r="B93" s="399"/>
      <c r="C93" s="400"/>
      <c r="D93" s="409"/>
      <c r="E93" s="401"/>
      <c r="F93" s="411"/>
      <c r="G93" s="402">
        <f t="shared" si="1"/>
        <v>0</v>
      </c>
    </row>
    <row r="94" spans="1:7" s="160" customFormat="1" x14ac:dyDescent="0.35">
      <c r="A94" s="398"/>
      <c r="B94" s="399"/>
      <c r="C94" s="400"/>
      <c r="D94" s="409"/>
      <c r="E94" s="401"/>
      <c r="F94" s="411"/>
      <c r="G94" s="402">
        <f t="shared" si="1"/>
        <v>0</v>
      </c>
    </row>
    <row r="95" spans="1:7" s="160" customFormat="1" x14ac:dyDescent="0.35">
      <c r="A95" s="398"/>
      <c r="B95" s="399"/>
      <c r="C95" s="400"/>
      <c r="D95" s="409"/>
      <c r="E95" s="401"/>
      <c r="F95" s="411"/>
      <c r="G95" s="402">
        <f t="shared" si="1"/>
        <v>0</v>
      </c>
    </row>
    <row r="96" spans="1:7" s="160" customFormat="1" x14ac:dyDescent="0.35">
      <c r="A96" s="398"/>
      <c r="B96" s="399"/>
      <c r="C96" s="400"/>
      <c r="D96" s="409"/>
      <c r="E96" s="401"/>
      <c r="F96" s="411"/>
      <c r="G96" s="402">
        <f t="shared" si="1"/>
        <v>0</v>
      </c>
    </row>
    <row r="97" spans="1:7" s="160" customFormat="1" x14ac:dyDescent="0.35">
      <c r="A97" s="398"/>
      <c r="B97" s="399"/>
      <c r="C97" s="400"/>
      <c r="D97" s="409"/>
      <c r="E97" s="401"/>
      <c r="F97" s="411"/>
      <c r="G97" s="402">
        <f t="shared" si="1"/>
        <v>0</v>
      </c>
    </row>
    <row r="98" spans="1:7" s="160" customFormat="1" ht="24" thickBot="1" x14ac:dyDescent="0.4">
      <c r="A98" s="398"/>
      <c r="B98" s="399"/>
      <c r="C98" s="400"/>
      <c r="D98" s="409"/>
      <c r="E98" s="401"/>
      <c r="F98" s="411"/>
      <c r="G98" s="402">
        <f t="shared" si="1"/>
        <v>0</v>
      </c>
    </row>
    <row r="99" spans="1:7" s="160" customFormat="1" ht="24" thickBot="1" x14ac:dyDescent="0.4">
      <c r="A99" s="398"/>
      <c r="B99" s="399"/>
      <c r="C99" s="404" t="s">
        <v>760</v>
      </c>
      <c r="D99" s="409"/>
      <c r="E99" s="401"/>
      <c r="F99" s="411"/>
      <c r="G99" s="405">
        <f>SUM(G81:G98)</f>
        <v>0</v>
      </c>
    </row>
    <row r="100" spans="1:7" s="160" customFormat="1" x14ac:dyDescent="0.35">
      <c r="A100" s="398"/>
      <c r="B100" s="399"/>
      <c r="C100" s="400"/>
      <c r="D100" s="409"/>
      <c r="E100" s="401"/>
      <c r="F100" s="411"/>
      <c r="G100" s="402">
        <f t="shared" si="1"/>
        <v>0</v>
      </c>
    </row>
    <row r="101" spans="1:7" s="160" customFormat="1" x14ac:dyDescent="0.35">
      <c r="A101" s="398"/>
      <c r="B101" s="399"/>
      <c r="C101" s="400"/>
      <c r="D101" s="409"/>
      <c r="E101" s="401"/>
      <c r="F101" s="411"/>
      <c r="G101" s="402">
        <f t="shared" si="1"/>
        <v>0</v>
      </c>
    </row>
    <row r="102" spans="1:7" s="160" customFormat="1" ht="24" thickBot="1" x14ac:dyDescent="0.4">
      <c r="A102" s="398"/>
      <c r="B102" s="399"/>
      <c r="C102" s="400"/>
      <c r="D102" s="409"/>
      <c r="E102" s="401"/>
      <c r="F102" s="411"/>
      <c r="G102" s="402">
        <f t="shared" si="1"/>
        <v>0</v>
      </c>
    </row>
    <row r="103" spans="1:7" x14ac:dyDescent="0.35">
      <c r="A103" s="383"/>
      <c r="B103" s="384"/>
      <c r="C103" s="385"/>
      <c r="D103" s="386"/>
      <c r="E103" s="387"/>
      <c r="F103" s="410"/>
      <c r="G103" s="387"/>
    </row>
    <row r="104" spans="1:7" s="160" customFormat="1" x14ac:dyDescent="0.35">
      <c r="A104" s="388"/>
      <c r="B104" s="389"/>
      <c r="C104" s="390"/>
      <c r="D104" s="391"/>
      <c r="E104" s="391"/>
      <c r="F104" s="393" t="s">
        <v>2</v>
      </c>
      <c r="G104" s="393"/>
    </row>
    <row r="105" spans="1:7" s="160" customFormat="1" ht="24" thickBot="1" x14ac:dyDescent="0.4">
      <c r="A105" s="394"/>
      <c r="B105" s="395"/>
      <c r="C105" s="396" t="s">
        <v>753</v>
      </c>
      <c r="D105" s="397" t="s">
        <v>3</v>
      </c>
      <c r="E105" s="397" t="s">
        <v>1</v>
      </c>
      <c r="F105" s="397" t="s">
        <v>4</v>
      </c>
      <c r="G105" s="397" t="s">
        <v>5</v>
      </c>
    </row>
    <row r="106" spans="1:7" s="160" customFormat="1" x14ac:dyDescent="0.35">
      <c r="A106" s="398"/>
      <c r="B106" s="399"/>
      <c r="C106" s="400"/>
      <c r="D106" s="409"/>
      <c r="E106" s="401"/>
      <c r="F106" s="411"/>
      <c r="G106" s="402">
        <f t="shared" si="1"/>
        <v>0</v>
      </c>
    </row>
    <row r="107" spans="1:7" s="160" customFormat="1" ht="46.5" x14ac:dyDescent="0.35">
      <c r="A107" s="398"/>
      <c r="B107" s="399"/>
      <c r="C107" s="403" t="s">
        <v>784</v>
      </c>
      <c r="D107" s="409"/>
      <c r="E107" s="401"/>
      <c r="F107" s="411"/>
      <c r="G107" s="402">
        <f t="shared" si="1"/>
        <v>0</v>
      </c>
    </row>
    <row r="108" spans="1:7" s="160" customFormat="1" x14ac:dyDescent="0.35">
      <c r="A108" s="398"/>
      <c r="B108" s="399"/>
      <c r="C108" s="400"/>
      <c r="D108" s="409"/>
      <c r="E108" s="401"/>
      <c r="F108" s="411"/>
      <c r="G108" s="402">
        <f t="shared" si="1"/>
        <v>0</v>
      </c>
    </row>
    <row r="109" spans="1:7" s="160" customFormat="1" x14ac:dyDescent="0.35">
      <c r="A109" s="398"/>
      <c r="B109" s="399"/>
      <c r="C109" s="412" t="s">
        <v>786</v>
      </c>
      <c r="D109" s="409"/>
      <c r="E109" s="401"/>
      <c r="F109" s="411"/>
      <c r="G109" s="402">
        <f t="shared" si="1"/>
        <v>0</v>
      </c>
    </row>
    <row r="110" spans="1:7" s="160" customFormat="1" x14ac:dyDescent="0.35">
      <c r="A110" s="398"/>
      <c r="B110" s="399"/>
      <c r="C110" s="400"/>
      <c r="D110" s="409"/>
      <c r="E110" s="401"/>
      <c r="F110" s="411"/>
      <c r="G110" s="402">
        <f t="shared" si="1"/>
        <v>0</v>
      </c>
    </row>
    <row r="111" spans="1:7" s="160" customFormat="1" ht="46.5" x14ac:dyDescent="0.35">
      <c r="A111" s="398"/>
      <c r="B111" s="399"/>
      <c r="C111" s="400" t="s">
        <v>789</v>
      </c>
      <c r="D111" s="409">
        <v>1</v>
      </c>
      <c r="E111" s="401" t="s">
        <v>756</v>
      </c>
      <c r="F111" s="411"/>
      <c r="G111" s="402">
        <f>D111*F111</f>
        <v>0</v>
      </c>
    </row>
    <row r="112" spans="1:7" s="160" customFormat="1" x14ac:dyDescent="0.35">
      <c r="A112" s="398"/>
      <c r="B112" s="399"/>
      <c r="C112" s="400"/>
      <c r="D112" s="409"/>
      <c r="E112" s="401"/>
      <c r="F112" s="411"/>
      <c r="G112" s="402">
        <f t="shared" si="1"/>
        <v>0</v>
      </c>
    </row>
    <row r="113" spans="1:7" s="160" customFormat="1" ht="69.75" x14ac:dyDescent="0.35">
      <c r="A113" s="398"/>
      <c r="B113" s="399"/>
      <c r="C113" s="400" t="s">
        <v>787</v>
      </c>
      <c r="D113" s="409">
        <v>31</v>
      </c>
      <c r="E113" s="401" t="s">
        <v>26</v>
      </c>
      <c r="F113" s="411"/>
      <c r="G113" s="402">
        <f>D113*F113</f>
        <v>0</v>
      </c>
    </row>
    <row r="114" spans="1:7" s="160" customFormat="1" x14ac:dyDescent="0.35">
      <c r="A114" s="398"/>
      <c r="B114" s="399"/>
      <c r="C114" s="400"/>
      <c r="D114" s="409"/>
      <c r="E114" s="401"/>
      <c r="F114" s="411"/>
      <c r="G114" s="402">
        <f t="shared" si="1"/>
        <v>0</v>
      </c>
    </row>
    <row r="115" spans="1:7" s="160" customFormat="1" ht="46.5" x14ac:dyDescent="0.35">
      <c r="A115" s="398"/>
      <c r="B115" s="399"/>
      <c r="C115" s="400" t="s">
        <v>788</v>
      </c>
      <c r="D115" s="409">
        <v>434</v>
      </c>
      <c r="E115" s="401" t="s">
        <v>772</v>
      </c>
      <c r="F115" s="411"/>
      <c r="G115" s="402">
        <f>D115*F115</f>
        <v>0</v>
      </c>
    </row>
    <row r="116" spans="1:7" s="160" customFormat="1" x14ac:dyDescent="0.35">
      <c r="A116" s="398"/>
      <c r="B116" s="399"/>
      <c r="C116" s="400"/>
      <c r="D116" s="409"/>
      <c r="E116" s="401"/>
      <c r="F116" s="411"/>
      <c r="G116" s="402">
        <f t="shared" si="1"/>
        <v>0</v>
      </c>
    </row>
    <row r="117" spans="1:7" s="160" customFormat="1" ht="116.25" x14ac:dyDescent="0.35">
      <c r="A117" s="398"/>
      <c r="B117" s="399"/>
      <c r="C117" s="400" t="s">
        <v>791</v>
      </c>
      <c r="D117" s="409"/>
      <c r="E117" s="401"/>
      <c r="F117" s="411"/>
      <c r="G117" s="402">
        <f t="shared" si="1"/>
        <v>0</v>
      </c>
    </row>
    <row r="118" spans="1:7" s="160" customFormat="1" ht="24" thickBot="1" x14ac:dyDescent="0.4">
      <c r="A118" s="398"/>
      <c r="B118" s="399"/>
      <c r="C118" s="400"/>
      <c r="D118" s="409"/>
      <c r="E118" s="401"/>
      <c r="F118" s="411"/>
      <c r="G118" s="402">
        <f t="shared" si="1"/>
        <v>0</v>
      </c>
    </row>
    <row r="119" spans="1:7" s="160" customFormat="1" ht="70.5" thickBot="1" x14ac:dyDescent="0.4">
      <c r="A119" s="398"/>
      <c r="B119" s="399"/>
      <c r="C119" s="400" t="s">
        <v>938</v>
      </c>
      <c r="D119" s="409">
        <v>1</v>
      </c>
      <c r="E119" s="401" t="s">
        <v>756</v>
      </c>
      <c r="F119" s="411"/>
      <c r="G119" s="433">
        <f>D119*F119</f>
        <v>0</v>
      </c>
    </row>
    <row r="120" spans="1:7" s="160" customFormat="1" ht="24" thickBot="1" x14ac:dyDescent="0.4">
      <c r="A120" s="398"/>
      <c r="B120" s="399"/>
      <c r="C120" s="400"/>
      <c r="D120" s="409"/>
      <c r="E120" s="401"/>
      <c r="F120" s="411"/>
      <c r="G120" s="402">
        <f t="shared" ref="G120:G122" si="2">ROUND(D120*F120,2)</f>
        <v>0</v>
      </c>
    </row>
    <row r="121" spans="1:7" s="160" customFormat="1" ht="49.5" customHeight="1" thickBot="1" x14ac:dyDescent="0.4">
      <c r="A121" s="398"/>
      <c r="B121" s="399"/>
      <c r="C121" s="400"/>
      <c r="D121" s="409"/>
      <c r="E121" s="401"/>
      <c r="F121" s="411"/>
      <c r="G121" s="433"/>
    </row>
    <row r="122" spans="1:7" s="160" customFormat="1" ht="24" thickBot="1" x14ac:dyDescent="0.4">
      <c r="A122" s="398"/>
      <c r="B122" s="399"/>
      <c r="C122" s="400"/>
      <c r="D122" s="409"/>
      <c r="E122" s="401"/>
      <c r="F122" s="411"/>
      <c r="G122" s="402">
        <f t="shared" si="2"/>
        <v>0</v>
      </c>
    </row>
    <row r="123" spans="1:7" s="160" customFormat="1" ht="70.5" thickBot="1" x14ac:dyDescent="0.4">
      <c r="A123" s="398"/>
      <c r="B123" s="399"/>
      <c r="C123" s="400" t="s">
        <v>939</v>
      </c>
      <c r="D123" s="409">
        <v>1</v>
      </c>
      <c r="E123" s="401" t="s">
        <v>756</v>
      </c>
      <c r="F123" s="411"/>
      <c r="G123" s="433">
        <f>D123*F123</f>
        <v>0</v>
      </c>
    </row>
    <row r="124" spans="1:7" s="160" customFormat="1" x14ac:dyDescent="0.35">
      <c r="A124" s="398"/>
      <c r="B124" s="399"/>
      <c r="C124" s="400"/>
      <c r="D124" s="409"/>
      <c r="E124" s="401"/>
      <c r="F124" s="411"/>
      <c r="G124" s="402">
        <f t="shared" si="1"/>
        <v>0</v>
      </c>
    </row>
    <row r="125" spans="1:7" s="160" customFormat="1" x14ac:dyDescent="0.35">
      <c r="A125" s="398"/>
      <c r="B125" s="399"/>
      <c r="C125" s="400"/>
      <c r="D125" s="409"/>
      <c r="E125" s="401"/>
      <c r="F125" s="411"/>
      <c r="G125" s="402">
        <f t="shared" si="1"/>
        <v>0</v>
      </c>
    </row>
    <row r="126" spans="1:7" s="160" customFormat="1" x14ac:dyDescent="0.35">
      <c r="A126" s="398"/>
      <c r="B126" s="399"/>
      <c r="C126" s="400"/>
      <c r="D126" s="409"/>
      <c r="E126" s="401"/>
      <c r="F126" s="411"/>
      <c r="G126" s="402">
        <f t="shared" si="1"/>
        <v>0</v>
      </c>
    </row>
    <row r="127" spans="1:7" s="160" customFormat="1" ht="24" thickBot="1" x14ac:dyDescent="0.4">
      <c r="A127" s="398"/>
      <c r="B127" s="399"/>
      <c r="C127" s="400"/>
      <c r="D127" s="409"/>
      <c r="E127" s="401"/>
      <c r="F127" s="411"/>
      <c r="G127" s="402">
        <f t="shared" si="1"/>
        <v>0</v>
      </c>
    </row>
    <row r="128" spans="1:7" s="160" customFormat="1" ht="24" thickBot="1" x14ac:dyDescent="0.4">
      <c r="A128" s="398"/>
      <c r="B128" s="399"/>
      <c r="C128" s="404" t="s">
        <v>760</v>
      </c>
      <c r="D128" s="409"/>
      <c r="E128" s="401"/>
      <c r="F128" s="411"/>
      <c r="G128" s="405">
        <f>SUM(G108:G127)</f>
        <v>0</v>
      </c>
    </row>
    <row r="129" spans="1:7" s="160" customFormat="1" x14ac:dyDescent="0.35">
      <c r="A129" s="398"/>
      <c r="B129" s="399"/>
      <c r="C129" s="400"/>
      <c r="D129" s="409"/>
      <c r="E129" s="401"/>
      <c r="F129" s="411"/>
      <c r="G129" s="402">
        <f t="shared" si="1"/>
        <v>0</v>
      </c>
    </row>
    <row r="130" spans="1:7" s="160" customFormat="1" ht="24" thickBot="1" x14ac:dyDescent="0.4">
      <c r="A130" s="398"/>
      <c r="B130" s="399"/>
      <c r="C130" s="400"/>
      <c r="D130" s="409"/>
      <c r="E130" s="401"/>
      <c r="F130" s="411"/>
      <c r="G130" s="402">
        <f t="shared" si="1"/>
        <v>0</v>
      </c>
    </row>
    <row r="131" spans="1:7" x14ac:dyDescent="0.35">
      <c r="A131" s="383"/>
      <c r="B131" s="384"/>
      <c r="C131" s="385"/>
      <c r="D131" s="386"/>
      <c r="E131" s="387"/>
      <c r="F131" s="410"/>
      <c r="G131" s="387"/>
    </row>
    <row r="132" spans="1:7" s="160" customFormat="1" x14ac:dyDescent="0.35">
      <c r="A132" s="388"/>
      <c r="B132" s="389"/>
      <c r="C132" s="390"/>
      <c r="D132" s="391"/>
      <c r="E132" s="391"/>
      <c r="F132" s="393" t="s">
        <v>2</v>
      </c>
      <c r="G132" s="393"/>
    </row>
    <row r="133" spans="1:7" s="160" customFormat="1" ht="24" thickBot="1" x14ac:dyDescent="0.4">
      <c r="A133" s="394"/>
      <c r="B133" s="395"/>
      <c r="C133" s="396" t="s">
        <v>753</v>
      </c>
      <c r="D133" s="397" t="s">
        <v>3</v>
      </c>
      <c r="E133" s="397" t="s">
        <v>1</v>
      </c>
      <c r="F133" s="397" t="s">
        <v>4</v>
      </c>
      <c r="G133" s="397" t="s">
        <v>5</v>
      </c>
    </row>
    <row r="134" spans="1:7" s="160" customFormat="1" x14ac:dyDescent="0.35">
      <c r="A134" s="398"/>
      <c r="B134" s="399"/>
      <c r="C134" s="400"/>
      <c r="D134" s="409"/>
      <c r="E134" s="401"/>
      <c r="F134" s="411"/>
      <c r="G134" s="402">
        <f t="shared" ref="G134:G146" si="3">ROUND(D134*F134,2)</f>
        <v>0</v>
      </c>
    </row>
    <row r="135" spans="1:7" s="160" customFormat="1" ht="46.5" x14ac:dyDescent="0.35">
      <c r="A135" s="398"/>
      <c r="B135" s="399"/>
      <c r="C135" s="403" t="s">
        <v>784</v>
      </c>
      <c r="D135" s="409"/>
      <c r="E135" s="401"/>
      <c r="F135" s="411"/>
      <c r="G135" s="402">
        <f t="shared" si="3"/>
        <v>0</v>
      </c>
    </row>
    <row r="136" spans="1:7" s="160" customFormat="1" x14ac:dyDescent="0.35">
      <c r="A136" s="398"/>
      <c r="B136" s="399"/>
      <c r="C136" s="400"/>
      <c r="D136" s="409"/>
      <c r="E136" s="401"/>
      <c r="F136" s="411"/>
      <c r="G136" s="402">
        <f t="shared" si="3"/>
        <v>0</v>
      </c>
    </row>
    <row r="137" spans="1:7" s="160" customFormat="1" x14ac:dyDescent="0.35">
      <c r="A137" s="398"/>
      <c r="B137" s="399"/>
      <c r="C137" s="412" t="s">
        <v>790</v>
      </c>
      <c r="D137" s="409"/>
      <c r="E137" s="401"/>
      <c r="F137" s="411"/>
      <c r="G137" s="402">
        <f t="shared" si="3"/>
        <v>0</v>
      </c>
    </row>
    <row r="138" spans="1:7" s="160" customFormat="1" ht="24" thickBot="1" x14ac:dyDescent="0.4">
      <c r="A138" s="398"/>
      <c r="B138" s="399"/>
      <c r="C138" s="400"/>
      <c r="D138" s="409"/>
      <c r="E138" s="401"/>
      <c r="F138" s="411"/>
      <c r="G138" s="402">
        <f t="shared" si="3"/>
        <v>0</v>
      </c>
    </row>
    <row r="139" spans="1:7" s="160" customFormat="1" ht="117" thickBot="1" x14ac:dyDescent="0.4">
      <c r="A139" s="398"/>
      <c r="B139" s="399"/>
      <c r="C139" s="400" t="s">
        <v>940</v>
      </c>
      <c r="D139" s="409">
        <v>1</v>
      </c>
      <c r="E139" s="401" t="s">
        <v>756</v>
      </c>
      <c r="F139" s="411"/>
      <c r="G139" s="433">
        <f>D139*F139</f>
        <v>0</v>
      </c>
    </row>
    <row r="140" spans="1:7" s="160" customFormat="1" ht="24" thickBot="1" x14ac:dyDescent="0.4">
      <c r="A140" s="398"/>
      <c r="B140" s="399"/>
      <c r="C140" s="400"/>
      <c r="D140" s="409"/>
      <c r="E140" s="401"/>
      <c r="F140" s="411"/>
      <c r="G140" s="402"/>
    </row>
    <row r="141" spans="1:7" s="160" customFormat="1" ht="70.5" thickBot="1" x14ac:dyDescent="0.4">
      <c r="A141" s="398"/>
      <c r="B141" s="399"/>
      <c r="C141" s="400" t="s">
        <v>941</v>
      </c>
      <c r="D141" s="409">
        <v>1</v>
      </c>
      <c r="E141" s="401" t="s">
        <v>756</v>
      </c>
      <c r="F141" s="411"/>
      <c r="G141" s="433">
        <f>D141*F141</f>
        <v>0</v>
      </c>
    </row>
    <row r="142" spans="1:7" s="160" customFormat="1" x14ac:dyDescent="0.35">
      <c r="A142" s="398"/>
      <c r="B142" s="399"/>
      <c r="C142" s="400"/>
      <c r="D142" s="409"/>
      <c r="E142" s="401"/>
      <c r="F142" s="411"/>
      <c r="G142" s="402"/>
    </row>
    <row r="143" spans="1:7" s="160" customFormat="1" ht="116.25" x14ac:dyDescent="0.35">
      <c r="A143" s="398"/>
      <c r="B143" s="399"/>
      <c r="C143" s="400" t="s">
        <v>795</v>
      </c>
      <c r="D143" s="409">
        <v>434</v>
      </c>
      <c r="E143" s="401" t="s">
        <v>772</v>
      </c>
      <c r="F143" s="411"/>
      <c r="G143" s="402">
        <f>D143*F143</f>
        <v>0</v>
      </c>
    </row>
    <row r="144" spans="1:7" s="160" customFormat="1" x14ac:dyDescent="0.35">
      <c r="A144" s="398"/>
      <c r="B144" s="399"/>
      <c r="C144" s="400"/>
      <c r="D144" s="409"/>
      <c r="E144" s="401"/>
      <c r="F144" s="411"/>
      <c r="G144" s="402">
        <f t="shared" si="3"/>
        <v>0</v>
      </c>
    </row>
    <row r="145" spans="1:7" s="160" customFormat="1" ht="69.75" x14ac:dyDescent="0.35">
      <c r="A145" s="398"/>
      <c r="B145" s="399"/>
      <c r="C145" s="400" t="s">
        <v>796</v>
      </c>
      <c r="D145" s="409">
        <v>31</v>
      </c>
      <c r="E145" s="401" t="s">
        <v>26</v>
      </c>
      <c r="F145" s="411"/>
      <c r="G145" s="402">
        <f>D145*F145</f>
        <v>0</v>
      </c>
    </row>
    <row r="146" spans="1:7" s="160" customFormat="1" x14ac:dyDescent="0.35">
      <c r="A146" s="398"/>
      <c r="B146" s="399"/>
      <c r="C146" s="400"/>
      <c r="D146" s="409"/>
      <c r="E146" s="401"/>
      <c r="F146" s="411"/>
      <c r="G146" s="402">
        <f t="shared" si="3"/>
        <v>0</v>
      </c>
    </row>
    <row r="147" spans="1:7" s="160" customFormat="1" ht="116.25" x14ac:dyDescent="0.35">
      <c r="A147" s="398"/>
      <c r="B147" s="399"/>
      <c r="C147" s="400" t="s">
        <v>797</v>
      </c>
      <c r="D147" s="409">
        <v>94</v>
      </c>
      <c r="E147" s="401" t="s">
        <v>26</v>
      </c>
      <c r="F147" s="411"/>
      <c r="G147" s="402">
        <f>D147*F147</f>
        <v>0</v>
      </c>
    </row>
    <row r="148" spans="1:7" s="160" customFormat="1" x14ac:dyDescent="0.35">
      <c r="A148" s="398"/>
      <c r="B148" s="399"/>
      <c r="C148" s="400"/>
      <c r="D148" s="409"/>
      <c r="E148" s="401"/>
      <c r="F148" s="411"/>
      <c r="G148" s="402">
        <f t="shared" ref="G148:G157" si="4">ROUND(D148*F148,2)</f>
        <v>0</v>
      </c>
    </row>
    <row r="149" spans="1:7" s="160" customFormat="1" x14ac:dyDescent="0.35">
      <c r="A149" s="398"/>
      <c r="B149" s="399"/>
      <c r="C149" s="400"/>
      <c r="D149" s="409"/>
      <c r="E149" s="401"/>
      <c r="F149" s="411"/>
      <c r="G149" s="402">
        <f t="shared" si="4"/>
        <v>0</v>
      </c>
    </row>
    <row r="150" spans="1:7" s="160" customFormat="1" x14ac:dyDescent="0.35">
      <c r="A150" s="398"/>
      <c r="B150" s="399"/>
      <c r="C150" s="400"/>
      <c r="D150" s="409"/>
      <c r="E150" s="401"/>
      <c r="F150" s="411"/>
      <c r="G150" s="402">
        <f t="shared" si="4"/>
        <v>0</v>
      </c>
    </row>
    <row r="151" spans="1:7" s="160" customFormat="1" x14ac:dyDescent="0.35">
      <c r="A151" s="398"/>
      <c r="B151" s="399"/>
      <c r="C151" s="400"/>
      <c r="D151" s="409"/>
      <c r="E151" s="401"/>
      <c r="F151" s="411"/>
      <c r="G151" s="402">
        <f t="shared" si="4"/>
        <v>0</v>
      </c>
    </row>
    <row r="152" spans="1:7" s="160" customFormat="1" x14ac:dyDescent="0.35">
      <c r="A152" s="398"/>
      <c r="B152" s="399"/>
      <c r="C152" s="400"/>
      <c r="D152" s="409"/>
      <c r="E152" s="401"/>
      <c r="F152" s="411"/>
      <c r="G152" s="402">
        <f t="shared" si="4"/>
        <v>0</v>
      </c>
    </row>
    <row r="153" spans="1:7" s="160" customFormat="1" x14ac:dyDescent="0.35">
      <c r="A153" s="398"/>
      <c r="B153" s="399"/>
      <c r="C153" s="400"/>
      <c r="D153" s="409"/>
      <c r="E153" s="401"/>
      <c r="F153" s="411"/>
      <c r="G153" s="402">
        <f t="shared" si="4"/>
        <v>0</v>
      </c>
    </row>
    <row r="154" spans="1:7" s="160" customFormat="1" ht="24" thickBot="1" x14ac:dyDescent="0.4">
      <c r="A154" s="398"/>
      <c r="B154" s="399"/>
      <c r="C154" s="400"/>
      <c r="D154" s="409"/>
      <c r="E154" s="401"/>
      <c r="F154" s="411"/>
      <c r="G154" s="402">
        <f t="shared" si="4"/>
        <v>0</v>
      </c>
    </row>
    <row r="155" spans="1:7" s="160" customFormat="1" ht="24" thickBot="1" x14ac:dyDescent="0.4">
      <c r="A155" s="398"/>
      <c r="B155" s="399"/>
      <c r="C155" s="404" t="s">
        <v>760</v>
      </c>
      <c r="D155" s="409"/>
      <c r="E155" s="401"/>
      <c r="F155" s="411"/>
      <c r="G155" s="405">
        <f>SUM(G135:G154)</f>
        <v>0</v>
      </c>
    </row>
    <row r="156" spans="1:7" s="160" customFormat="1" x14ac:dyDescent="0.35">
      <c r="A156" s="398"/>
      <c r="B156" s="399"/>
      <c r="C156" s="400"/>
      <c r="D156" s="409"/>
      <c r="E156" s="401"/>
      <c r="F156" s="411"/>
      <c r="G156" s="402">
        <f t="shared" si="4"/>
        <v>0</v>
      </c>
    </row>
    <row r="157" spans="1:7" s="160" customFormat="1" ht="24" thickBot="1" x14ac:dyDescent="0.4">
      <c r="A157" s="398"/>
      <c r="B157" s="399"/>
      <c r="C157" s="400"/>
      <c r="D157" s="409"/>
      <c r="E157" s="401"/>
      <c r="F157" s="411"/>
      <c r="G157" s="402">
        <f t="shared" si="4"/>
        <v>0</v>
      </c>
    </row>
    <row r="158" spans="1:7" x14ac:dyDescent="0.35">
      <c r="A158" s="383"/>
      <c r="B158" s="384"/>
      <c r="C158" s="385"/>
      <c r="D158" s="386"/>
      <c r="E158" s="387"/>
      <c r="F158" s="410"/>
      <c r="G158" s="387"/>
    </row>
    <row r="159" spans="1:7" s="160" customFormat="1" x14ac:dyDescent="0.35">
      <c r="A159" s="388"/>
      <c r="B159" s="389"/>
      <c r="C159" s="390"/>
      <c r="D159" s="391"/>
      <c r="E159" s="391"/>
      <c r="F159" s="393" t="s">
        <v>2</v>
      </c>
      <c r="G159" s="393"/>
    </row>
    <row r="160" spans="1:7" s="160" customFormat="1" ht="24" thickBot="1" x14ac:dyDescent="0.4">
      <c r="A160" s="394"/>
      <c r="B160" s="395"/>
      <c r="C160" s="396" t="s">
        <v>753</v>
      </c>
      <c r="D160" s="397" t="s">
        <v>3</v>
      </c>
      <c r="E160" s="397" t="s">
        <v>1</v>
      </c>
      <c r="F160" s="397" t="s">
        <v>4</v>
      </c>
      <c r="G160" s="397" t="s">
        <v>5</v>
      </c>
    </row>
    <row r="161" spans="1:7" s="160" customFormat="1" x14ac:dyDescent="0.35">
      <c r="A161" s="398"/>
      <c r="B161" s="399"/>
      <c r="C161" s="400"/>
      <c r="D161" s="409"/>
      <c r="E161" s="401"/>
      <c r="F161" s="411"/>
      <c r="G161" s="402">
        <f t="shared" ref="G161:G163" si="5">ROUND(D161*F161,2)</f>
        <v>0</v>
      </c>
    </row>
    <row r="162" spans="1:7" s="160" customFormat="1" ht="46.5" x14ac:dyDescent="0.35">
      <c r="A162" s="398"/>
      <c r="B162" s="399"/>
      <c r="C162" s="403" t="s">
        <v>792</v>
      </c>
      <c r="D162" s="409"/>
      <c r="E162" s="401"/>
      <c r="F162" s="411"/>
      <c r="G162" s="402">
        <f t="shared" si="5"/>
        <v>0</v>
      </c>
    </row>
    <row r="163" spans="1:7" s="160" customFormat="1" x14ac:dyDescent="0.35">
      <c r="A163" s="398"/>
      <c r="B163" s="399"/>
      <c r="C163" s="400"/>
      <c r="D163" s="409"/>
      <c r="E163" s="401"/>
      <c r="F163" s="411"/>
      <c r="G163" s="402">
        <f t="shared" si="5"/>
        <v>0</v>
      </c>
    </row>
    <row r="164" spans="1:7" s="160" customFormat="1" ht="232.5" x14ac:dyDescent="0.35">
      <c r="A164" s="398"/>
      <c r="B164" s="399"/>
      <c r="C164" s="400" t="s">
        <v>891</v>
      </c>
      <c r="D164" s="409">
        <v>58</v>
      </c>
      <c r="E164" s="401" t="s">
        <v>772</v>
      </c>
      <c r="F164" s="411"/>
      <c r="G164" s="402">
        <f>D164*F164</f>
        <v>0</v>
      </c>
    </row>
    <row r="165" spans="1:7" s="160" customFormat="1" x14ac:dyDescent="0.35">
      <c r="A165" s="398"/>
      <c r="B165" s="399"/>
      <c r="C165" s="400"/>
      <c r="D165" s="409"/>
      <c r="E165" s="401"/>
      <c r="F165" s="411"/>
      <c r="G165" s="402">
        <f t="shared" ref="G165:G214" si="6">ROUND(D165*F165,2)</f>
        <v>0</v>
      </c>
    </row>
    <row r="166" spans="1:7" s="160" customFormat="1" ht="232.5" x14ac:dyDescent="0.35">
      <c r="A166" s="398"/>
      <c r="B166" s="399"/>
      <c r="C166" s="400" t="s">
        <v>793</v>
      </c>
      <c r="D166" s="409">
        <v>65</v>
      </c>
      <c r="E166" s="401" t="s">
        <v>468</v>
      </c>
      <c r="F166" s="411"/>
      <c r="G166" s="402">
        <f>D166*F166</f>
        <v>0</v>
      </c>
    </row>
    <row r="167" spans="1:7" s="160" customFormat="1" x14ac:dyDescent="0.35">
      <c r="A167" s="398"/>
      <c r="B167" s="399"/>
      <c r="C167" s="400"/>
      <c r="D167" s="409"/>
      <c r="E167" s="401"/>
      <c r="F167" s="411"/>
      <c r="G167" s="402">
        <f t="shared" si="6"/>
        <v>0</v>
      </c>
    </row>
    <row r="168" spans="1:7" s="160" customFormat="1" ht="63.75" customHeight="1" x14ac:dyDescent="0.35">
      <c r="A168" s="398"/>
      <c r="B168" s="399"/>
      <c r="C168" s="413"/>
      <c r="D168" s="409"/>
      <c r="E168" s="401"/>
      <c r="F168" s="411"/>
      <c r="G168" s="402"/>
    </row>
    <row r="169" spans="1:7" s="160" customFormat="1" ht="87" customHeight="1" x14ac:dyDescent="0.35">
      <c r="A169" s="398"/>
      <c r="B169" s="399"/>
      <c r="C169" s="400"/>
      <c r="D169" s="409"/>
      <c r="E169" s="401"/>
      <c r="F169" s="411"/>
      <c r="G169" s="402"/>
    </row>
    <row r="170" spans="1:7" s="160" customFormat="1" ht="69.75" customHeight="1" x14ac:dyDescent="0.35">
      <c r="A170" s="398"/>
      <c r="B170" s="399"/>
      <c r="C170" s="400"/>
      <c r="D170" s="409"/>
      <c r="E170" s="401"/>
      <c r="F170" s="411"/>
      <c r="G170" s="402"/>
    </row>
    <row r="171" spans="1:7" s="160" customFormat="1" ht="95.25" customHeight="1" x14ac:dyDescent="0.35">
      <c r="A171" s="398"/>
      <c r="B171" s="399"/>
      <c r="C171" s="400"/>
      <c r="D171" s="409"/>
      <c r="E171" s="401"/>
      <c r="F171" s="411"/>
      <c r="G171" s="402"/>
    </row>
    <row r="172" spans="1:7" s="160" customFormat="1" x14ac:dyDescent="0.35">
      <c r="A172" s="398"/>
      <c r="B172" s="399"/>
      <c r="C172" s="400"/>
      <c r="D172" s="409"/>
      <c r="E172" s="401"/>
      <c r="F172" s="411"/>
      <c r="G172" s="402"/>
    </row>
    <row r="173" spans="1:7" s="160" customFormat="1" x14ac:dyDescent="0.35">
      <c r="A173" s="398"/>
      <c r="B173" s="399"/>
      <c r="C173" s="400"/>
      <c r="D173" s="409"/>
      <c r="E173" s="401"/>
      <c r="F173" s="411"/>
      <c r="G173" s="402">
        <f t="shared" si="6"/>
        <v>0</v>
      </c>
    </row>
    <row r="174" spans="1:7" s="160" customFormat="1" ht="69.75" x14ac:dyDescent="0.35">
      <c r="A174" s="398"/>
      <c r="B174" s="399"/>
      <c r="C174" s="400" t="s">
        <v>794</v>
      </c>
      <c r="D174" s="409">
        <v>1</v>
      </c>
      <c r="E174" s="401" t="s">
        <v>756</v>
      </c>
      <c r="F174" s="411"/>
      <c r="G174" s="402">
        <f>D174*F174</f>
        <v>0</v>
      </c>
    </row>
    <row r="175" spans="1:7" s="160" customFormat="1" ht="24" thickBot="1" x14ac:dyDescent="0.4">
      <c r="A175" s="398"/>
      <c r="B175" s="399"/>
      <c r="C175" s="400"/>
      <c r="D175" s="409"/>
      <c r="E175" s="401"/>
      <c r="F175" s="411"/>
      <c r="G175" s="402">
        <f t="shared" si="6"/>
        <v>0</v>
      </c>
    </row>
    <row r="176" spans="1:7" s="160" customFormat="1" ht="24" thickBot="1" x14ac:dyDescent="0.4">
      <c r="A176" s="398"/>
      <c r="B176" s="399"/>
      <c r="C176" s="404" t="s">
        <v>760</v>
      </c>
      <c r="D176" s="409"/>
      <c r="E176" s="401"/>
      <c r="F176" s="411"/>
      <c r="G176" s="405">
        <f>SUM(G163:G175)</f>
        <v>0</v>
      </c>
    </row>
    <row r="177" spans="1:7" s="160" customFormat="1" x14ac:dyDescent="0.35">
      <c r="A177" s="398"/>
      <c r="B177" s="399"/>
      <c r="C177" s="400"/>
      <c r="D177" s="409"/>
      <c r="E177" s="401"/>
      <c r="F177" s="411"/>
      <c r="G177" s="402">
        <f t="shared" si="6"/>
        <v>0</v>
      </c>
    </row>
    <row r="178" spans="1:7" s="160" customFormat="1" ht="24" thickBot="1" x14ac:dyDescent="0.4">
      <c r="A178" s="398"/>
      <c r="B178" s="399"/>
      <c r="C178" s="400"/>
      <c r="D178" s="409"/>
      <c r="E178" s="401"/>
      <c r="F178" s="411"/>
      <c r="G178" s="402">
        <f t="shared" si="6"/>
        <v>0</v>
      </c>
    </row>
    <row r="179" spans="1:7" ht="18" customHeight="1" x14ac:dyDescent="0.35">
      <c r="A179" s="383"/>
      <c r="B179" s="384"/>
      <c r="C179" s="385"/>
      <c r="D179" s="386"/>
      <c r="E179" s="387"/>
      <c r="F179" s="410"/>
      <c r="G179" s="387"/>
    </row>
    <row r="180" spans="1:7" s="160" customFormat="1" x14ac:dyDescent="0.35">
      <c r="A180" s="388"/>
      <c r="B180" s="389"/>
      <c r="C180" s="390"/>
      <c r="D180" s="391"/>
      <c r="E180" s="391"/>
      <c r="F180" s="393" t="s">
        <v>2</v>
      </c>
      <c r="G180" s="393"/>
    </row>
    <row r="181" spans="1:7" s="160" customFormat="1" ht="24" thickBot="1" x14ac:dyDescent="0.4">
      <c r="A181" s="394"/>
      <c r="B181" s="395"/>
      <c r="C181" s="396" t="s">
        <v>753</v>
      </c>
      <c r="D181" s="397" t="s">
        <v>3</v>
      </c>
      <c r="E181" s="397" t="s">
        <v>1</v>
      </c>
      <c r="F181" s="397" t="s">
        <v>4</v>
      </c>
      <c r="G181" s="397" t="s">
        <v>5</v>
      </c>
    </row>
    <row r="182" spans="1:7" s="160" customFormat="1" ht="18" customHeight="1" x14ac:dyDescent="0.35">
      <c r="A182" s="398"/>
      <c r="B182" s="399"/>
      <c r="C182" s="400"/>
      <c r="D182" s="409"/>
      <c r="E182" s="401"/>
      <c r="F182" s="411"/>
      <c r="G182" s="402">
        <f t="shared" si="6"/>
        <v>0</v>
      </c>
    </row>
    <row r="183" spans="1:7" s="160" customFormat="1" x14ac:dyDescent="0.35">
      <c r="A183" s="398"/>
      <c r="B183" s="399"/>
      <c r="C183" s="412" t="s">
        <v>798</v>
      </c>
      <c r="D183" s="409"/>
      <c r="E183" s="401"/>
      <c r="F183" s="411"/>
      <c r="G183" s="402">
        <f t="shared" si="6"/>
        <v>0</v>
      </c>
    </row>
    <row r="184" spans="1:7" s="160" customFormat="1" ht="16.5" customHeight="1" x14ac:dyDescent="0.35">
      <c r="A184" s="398"/>
      <c r="B184" s="399"/>
      <c r="C184" s="400"/>
      <c r="D184" s="409"/>
      <c r="E184" s="401"/>
      <c r="F184" s="411"/>
      <c r="G184" s="402">
        <f t="shared" si="6"/>
        <v>0</v>
      </c>
    </row>
    <row r="185" spans="1:7" s="160" customFormat="1" ht="93" x14ac:dyDescent="0.35">
      <c r="A185" s="398"/>
      <c r="B185" s="399"/>
      <c r="C185" s="400" t="s">
        <v>800</v>
      </c>
      <c r="D185" s="409">
        <v>1</v>
      </c>
      <c r="E185" s="401" t="s">
        <v>756</v>
      </c>
      <c r="F185" s="411"/>
      <c r="G185" s="402">
        <f>D185*F185</f>
        <v>0</v>
      </c>
    </row>
    <row r="186" spans="1:7" s="160" customFormat="1" ht="15.75" customHeight="1" x14ac:dyDescent="0.35">
      <c r="A186" s="398"/>
      <c r="B186" s="399"/>
      <c r="C186" s="400"/>
      <c r="D186" s="409"/>
      <c r="E186" s="401"/>
      <c r="F186" s="411"/>
      <c r="G186" s="402">
        <f t="shared" si="6"/>
        <v>0</v>
      </c>
    </row>
    <row r="187" spans="1:7" s="160" customFormat="1" ht="93" x14ac:dyDescent="0.35">
      <c r="A187" s="398"/>
      <c r="B187" s="399"/>
      <c r="C187" s="400" t="s">
        <v>799</v>
      </c>
      <c r="D187" s="409">
        <v>1</v>
      </c>
      <c r="E187" s="401" t="s">
        <v>756</v>
      </c>
      <c r="F187" s="411"/>
      <c r="G187" s="402">
        <f>D187*F187</f>
        <v>0</v>
      </c>
    </row>
    <row r="188" spans="1:7" s="160" customFormat="1" ht="18.75" customHeight="1" x14ac:dyDescent="0.35">
      <c r="A188" s="398"/>
      <c r="B188" s="399"/>
      <c r="C188" s="400"/>
      <c r="D188" s="409"/>
      <c r="E188" s="401"/>
      <c r="F188" s="411"/>
      <c r="G188" s="402">
        <f t="shared" si="6"/>
        <v>0</v>
      </c>
    </row>
    <row r="189" spans="1:7" s="160" customFormat="1" ht="93" x14ac:dyDescent="0.35">
      <c r="A189" s="398"/>
      <c r="B189" s="399"/>
      <c r="C189" s="400" t="s">
        <v>801</v>
      </c>
      <c r="D189" s="409">
        <v>1</v>
      </c>
      <c r="E189" s="401" t="s">
        <v>756</v>
      </c>
      <c r="F189" s="411"/>
      <c r="G189" s="402">
        <f>D189*F189</f>
        <v>0</v>
      </c>
    </row>
    <row r="190" spans="1:7" s="160" customFormat="1" ht="16.5" customHeight="1" x14ac:dyDescent="0.35">
      <c r="A190" s="398"/>
      <c r="B190" s="399"/>
      <c r="C190" s="400"/>
      <c r="D190" s="409"/>
      <c r="E190" s="401"/>
      <c r="F190" s="411"/>
      <c r="G190" s="402">
        <f t="shared" si="6"/>
        <v>0</v>
      </c>
    </row>
    <row r="191" spans="1:7" s="160" customFormat="1" ht="93" x14ac:dyDescent="0.35">
      <c r="A191" s="398"/>
      <c r="B191" s="399"/>
      <c r="C191" s="400" t="s">
        <v>802</v>
      </c>
      <c r="D191" s="409">
        <v>1</v>
      </c>
      <c r="E191" s="401" t="s">
        <v>756</v>
      </c>
      <c r="F191" s="411"/>
      <c r="G191" s="402">
        <f>D191*F191</f>
        <v>0</v>
      </c>
    </row>
    <row r="192" spans="1:7" s="160" customFormat="1" ht="16.5" customHeight="1" x14ac:dyDescent="0.35">
      <c r="A192" s="398"/>
      <c r="B192" s="399"/>
      <c r="C192" s="400"/>
      <c r="D192" s="409"/>
      <c r="E192" s="401"/>
      <c r="F192" s="411"/>
      <c r="G192" s="402">
        <f t="shared" si="6"/>
        <v>0</v>
      </c>
    </row>
    <row r="193" spans="1:7" s="160" customFormat="1" ht="69.75" x14ac:dyDescent="0.35">
      <c r="A193" s="398"/>
      <c r="B193" s="399"/>
      <c r="C193" s="400" t="s">
        <v>817</v>
      </c>
      <c r="D193" s="409">
        <v>6</v>
      </c>
      <c r="E193" s="401" t="s">
        <v>761</v>
      </c>
      <c r="F193" s="411"/>
      <c r="G193" s="402">
        <f>D193*F193</f>
        <v>0</v>
      </c>
    </row>
    <row r="194" spans="1:7" s="160" customFormat="1" ht="18" customHeight="1" x14ac:dyDescent="0.35">
      <c r="A194" s="398"/>
      <c r="B194" s="399"/>
      <c r="C194" s="400"/>
      <c r="D194" s="409"/>
      <c r="E194" s="401"/>
      <c r="F194" s="411"/>
      <c r="G194" s="402">
        <f t="shared" si="6"/>
        <v>0</v>
      </c>
    </row>
    <row r="195" spans="1:7" s="160" customFormat="1" ht="93" x14ac:dyDescent="0.35">
      <c r="A195" s="398"/>
      <c r="B195" s="399"/>
      <c r="C195" s="400" t="s">
        <v>892</v>
      </c>
      <c r="D195" s="409">
        <v>35</v>
      </c>
      <c r="E195" s="401" t="s">
        <v>468</v>
      </c>
      <c r="F195" s="411"/>
      <c r="G195" s="402">
        <f>D195*F195</f>
        <v>0</v>
      </c>
    </row>
    <row r="196" spans="1:7" s="160" customFormat="1" ht="19.5" customHeight="1" x14ac:dyDescent="0.35">
      <c r="A196" s="398"/>
      <c r="B196" s="399"/>
      <c r="C196" s="400"/>
      <c r="D196" s="409"/>
      <c r="E196" s="401"/>
      <c r="F196" s="411"/>
      <c r="G196" s="402">
        <f t="shared" si="6"/>
        <v>0</v>
      </c>
    </row>
    <row r="197" spans="1:7" s="160" customFormat="1" ht="69.75" x14ac:dyDescent="0.35">
      <c r="A197" s="398"/>
      <c r="B197" s="399"/>
      <c r="C197" s="400" t="s">
        <v>840</v>
      </c>
      <c r="D197" s="409">
        <v>340</v>
      </c>
      <c r="E197" s="401" t="s">
        <v>772</v>
      </c>
      <c r="F197" s="411"/>
      <c r="G197" s="402">
        <f>D197*F197</f>
        <v>0</v>
      </c>
    </row>
    <row r="198" spans="1:7" s="160" customFormat="1" ht="19.5" customHeight="1" x14ac:dyDescent="0.35">
      <c r="A198" s="398"/>
      <c r="B198" s="399"/>
      <c r="C198" s="400"/>
      <c r="D198" s="409"/>
      <c r="E198" s="401"/>
      <c r="F198" s="411"/>
      <c r="G198" s="402">
        <f t="shared" si="6"/>
        <v>0</v>
      </c>
    </row>
    <row r="199" spans="1:7" s="160" customFormat="1" ht="116.25" x14ac:dyDescent="0.35">
      <c r="A199" s="398"/>
      <c r="B199" s="399"/>
      <c r="C199" s="400" t="s">
        <v>839</v>
      </c>
      <c r="D199" s="409">
        <v>92</v>
      </c>
      <c r="E199" s="401" t="s">
        <v>772</v>
      </c>
      <c r="F199" s="411"/>
      <c r="G199" s="402">
        <f>D199*F199</f>
        <v>0</v>
      </c>
    </row>
    <row r="200" spans="1:7" s="160" customFormat="1" ht="18" customHeight="1" x14ac:dyDescent="0.35">
      <c r="A200" s="398"/>
      <c r="B200" s="399"/>
      <c r="C200" s="400"/>
      <c r="D200" s="409"/>
      <c r="E200" s="401"/>
      <c r="F200" s="411"/>
      <c r="G200" s="402">
        <f t="shared" si="6"/>
        <v>0</v>
      </c>
    </row>
    <row r="201" spans="1:7" s="160" customFormat="1" ht="139.5" x14ac:dyDescent="0.35">
      <c r="A201" s="398"/>
      <c r="B201" s="399"/>
      <c r="C201" s="400" t="s">
        <v>842</v>
      </c>
      <c r="D201" s="409">
        <v>6</v>
      </c>
      <c r="E201" s="401" t="s">
        <v>761</v>
      </c>
      <c r="F201" s="411"/>
      <c r="G201" s="402">
        <f>D201*F201</f>
        <v>0</v>
      </c>
    </row>
    <row r="202" spans="1:7" s="160" customFormat="1" ht="24" thickBot="1" x14ac:dyDescent="0.4">
      <c r="A202" s="398"/>
      <c r="B202" s="399"/>
      <c r="C202" s="400"/>
      <c r="D202" s="409"/>
      <c r="E202" s="401"/>
      <c r="F202" s="411"/>
      <c r="G202" s="402">
        <f t="shared" si="6"/>
        <v>0</v>
      </c>
    </row>
    <row r="203" spans="1:7" s="160" customFormat="1" ht="24" thickBot="1" x14ac:dyDescent="0.4">
      <c r="A203" s="398"/>
      <c r="B203" s="399"/>
      <c r="C203" s="404" t="s">
        <v>760</v>
      </c>
      <c r="D203" s="409"/>
      <c r="E203" s="401"/>
      <c r="F203" s="411"/>
      <c r="G203" s="405">
        <f>SUM(G184:G202)</f>
        <v>0</v>
      </c>
    </row>
    <row r="204" spans="1:7" s="160" customFormat="1" ht="24" thickBot="1" x14ac:dyDescent="0.4">
      <c r="A204" s="398"/>
      <c r="B204" s="399"/>
      <c r="C204" s="400"/>
      <c r="D204" s="409"/>
      <c r="E204" s="401"/>
      <c r="F204" s="411"/>
      <c r="G204" s="402">
        <f t="shared" si="6"/>
        <v>0</v>
      </c>
    </row>
    <row r="205" spans="1:7" ht="18.75" customHeight="1" x14ac:dyDescent="0.35">
      <c r="A205" s="383"/>
      <c r="B205" s="384"/>
      <c r="C205" s="385"/>
      <c r="D205" s="386"/>
      <c r="E205" s="387"/>
      <c r="F205" s="410"/>
      <c r="G205" s="387"/>
    </row>
    <row r="206" spans="1:7" s="160" customFormat="1" ht="18" customHeight="1" x14ac:dyDescent="0.35">
      <c r="A206" s="388"/>
      <c r="B206" s="389"/>
      <c r="C206" s="390"/>
      <c r="D206" s="391"/>
      <c r="E206" s="391"/>
      <c r="F206" s="393" t="s">
        <v>2</v>
      </c>
      <c r="G206" s="393"/>
    </row>
    <row r="207" spans="1:7" s="160" customFormat="1" ht="24" thickBot="1" x14ac:dyDescent="0.4">
      <c r="A207" s="394"/>
      <c r="B207" s="395"/>
      <c r="C207" s="396" t="s">
        <v>753</v>
      </c>
      <c r="D207" s="397" t="s">
        <v>3</v>
      </c>
      <c r="E207" s="397" t="s">
        <v>1</v>
      </c>
      <c r="F207" s="397" t="s">
        <v>4</v>
      </c>
      <c r="G207" s="397" t="s">
        <v>5</v>
      </c>
    </row>
    <row r="208" spans="1:7" s="160" customFormat="1" x14ac:dyDescent="0.35">
      <c r="A208" s="398"/>
      <c r="B208" s="399"/>
      <c r="C208" s="400"/>
      <c r="D208" s="409"/>
      <c r="E208" s="401"/>
      <c r="F208" s="411"/>
      <c r="G208" s="402">
        <f t="shared" ref="G208" si="7">ROUND(D208*F208,2)</f>
        <v>0</v>
      </c>
    </row>
    <row r="209" spans="1:7" s="160" customFormat="1" x14ac:dyDescent="0.35">
      <c r="A209" s="398"/>
      <c r="B209" s="399"/>
      <c r="C209" s="412" t="s">
        <v>803</v>
      </c>
      <c r="D209" s="409"/>
      <c r="E209" s="401"/>
      <c r="F209" s="411"/>
      <c r="G209" s="402">
        <f t="shared" si="6"/>
        <v>0</v>
      </c>
    </row>
    <row r="210" spans="1:7" s="160" customFormat="1" ht="16.5" customHeight="1" x14ac:dyDescent="0.35">
      <c r="A210" s="398"/>
      <c r="B210" s="399"/>
      <c r="C210" s="400"/>
      <c r="D210" s="409"/>
      <c r="E210" s="401"/>
      <c r="F210" s="411"/>
      <c r="G210" s="402">
        <f t="shared" si="6"/>
        <v>0</v>
      </c>
    </row>
    <row r="211" spans="1:7" s="160" customFormat="1" ht="69.75" x14ac:dyDescent="0.35">
      <c r="A211" s="398"/>
      <c r="B211" s="399"/>
      <c r="C211" s="400" t="s">
        <v>893</v>
      </c>
      <c r="D211" s="409">
        <v>54</v>
      </c>
      <c r="E211" s="401" t="s">
        <v>777</v>
      </c>
      <c r="F211" s="411"/>
      <c r="G211" s="402">
        <f>D211*F211</f>
        <v>0</v>
      </c>
    </row>
    <row r="212" spans="1:7" s="160" customFormat="1" ht="14.25" customHeight="1" x14ac:dyDescent="0.35">
      <c r="A212" s="398"/>
      <c r="B212" s="399"/>
      <c r="C212" s="400"/>
      <c r="D212" s="409"/>
      <c r="E212" s="401"/>
      <c r="F212" s="411"/>
      <c r="G212" s="402">
        <f t="shared" si="6"/>
        <v>0</v>
      </c>
    </row>
    <row r="213" spans="1:7" s="160" customFormat="1" ht="46.5" x14ac:dyDescent="0.35">
      <c r="A213" s="398"/>
      <c r="B213" s="399"/>
      <c r="C213" s="400" t="s">
        <v>804</v>
      </c>
      <c r="D213" s="409">
        <v>12</v>
      </c>
      <c r="E213" s="401" t="s">
        <v>777</v>
      </c>
      <c r="F213" s="411"/>
      <c r="G213" s="402">
        <f>D213*F213</f>
        <v>0</v>
      </c>
    </row>
    <row r="214" spans="1:7" s="160" customFormat="1" ht="14.25" customHeight="1" x14ac:dyDescent="0.35">
      <c r="A214" s="398"/>
      <c r="B214" s="399"/>
      <c r="C214" s="400"/>
      <c r="D214" s="409"/>
      <c r="E214" s="401"/>
      <c r="F214" s="411"/>
      <c r="G214" s="402">
        <f t="shared" si="6"/>
        <v>0</v>
      </c>
    </row>
    <row r="215" spans="1:7" s="160" customFormat="1" x14ac:dyDescent="0.35">
      <c r="A215" s="398"/>
      <c r="B215" s="399"/>
      <c r="C215" s="400" t="s">
        <v>805</v>
      </c>
      <c r="D215" s="409">
        <v>12</v>
      </c>
      <c r="E215" s="401" t="s">
        <v>777</v>
      </c>
      <c r="F215" s="411"/>
      <c r="G215" s="402">
        <f>D215*F215</f>
        <v>0</v>
      </c>
    </row>
    <row r="216" spans="1:7" s="160" customFormat="1" ht="15.75" customHeight="1" x14ac:dyDescent="0.35">
      <c r="A216" s="398"/>
      <c r="B216" s="399"/>
      <c r="C216" s="400"/>
      <c r="D216" s="409"/>
      <c r="E216" s="401"/>
      <c r="F216" s="411"/>
      <c r="G216" s="402">
        <f t="shared" ref="G216" si="8">ROUND(D216*F216,2)</f>
        <v>0</v>
      </c>
    </row>
    <row r="217" spans="1:7" s="160" customFormat="1" x14ac:dyDescent="0.35">
      <c r="A217" s="398"/>
      <c r="B217" s="399"/>
      <c r="C217" s="400" t="s">
        <v>806</v>
      </c>
      <c r="D217" s="409">
        <v>6</v>
      </c>
      <c r="E217" s="401" t="s">
        <v>777</v>
      </c>
      <c r="F217" s="411"/>
      <c r="G217" s="402">
        <f>D217*F217</f>
        <v>0</v>
      </c>
    </row>
    <row r="218" spans="1:7" s="160" customFormat="1" ht="16.5" customHeight="1" x14ac:dyDescent="0.35">
      <c r="A218" s="398"/>
      <c r="B218" s="399"/>
      <c r="C218" s="400"/>
      <c r="D218" s="409"/>
      <c r="E218" s="401"/>
      <c r="F218" s="411"/>
      <c r="G218" s="402">
        <f t="shared" ref="G218:G226" si="9">ROUND(D218*F218,2)</f>
        <v>0</v>
      </c>
    </row>
    <row r="219" spans="1:7" s="160" customFormat="1" x14ac:dyDescent="0.35">
      <c r="A219" s="398"/>
      <c r="B219" s="399"/>
      <c r="C219" s="400" t="s">
        <v>807</v>
      </c>
      <c r="D219" s="409">
        <v>12</v>
      </c>
      <c r="E219" s="401" t="s">
        <v>777</v>
      </c>
      <c r="F219" s="411"/>
      <c r="G219" s="402">
        <f>D219*F219</f>
        <v>0</v>
      </c>
    </row>
    <row r="220" spans="1:7" s="160" customFormat="1" ht="14.25" customHeight="1" x14ac:dyDescent="0.35">
      <c r="A220" s="398"/>
      <c r="B220" s="399"/>
      <c r="C220" s="400"/>
      <c r="D220" s="409"/>
      <c r="E220" s="401"/>
      <c r="F220" s="411"/>
      <c r="G220" s="402">
        <f t="shared" si="9"/>
        <v>0</v>
      </c>
    </row>
    <row r="221" spans="1:7" s="160" customFormat="1" ht="69.75" x14ac:dyDescent="0.35">
      <c r="A221" s="398"/>
      <c r="B221" s="399"/>
      <c r="C221" s="400" t="s">
        <v>816</v>
      </c>
      <c r="D221" s="409">
        <v>6</v>
      </c>
      <c r="E221" s="401" t="s">
        <v>777</v>
      </c>
      <c r="F221" s="411"/>
      <c r="G221" s="402">
        <f>D221*F221</f>
        <v>0</v>
      </c>
    </row>
    <row r="222" spans="1:7" s="160" customFormat="1" ht="16.5" customHeight="1" x14ac:dyDescent="0.35">
      <c r="A222" s="398"/>
      <c r="B222" s="399"/>
      <c r="C222" s="400"/>
      <c r="D222" s="409"/>
      <c r="E222" s="401"/>
      <c r="F222" s="411"/>
      <c r="G222" s="402">
        <f t="shared" si="9"/>
        <v>0</v>
      </c>
    </row>
    <row r="223" spans="1:7" s="160" customFormat="1" ht="69.75" x14ac:dyDescent="0.35">
      <c r="A223" s="398"/>
      <c r="B223" s="399"/>
      <c r="C223" s="400" t="s">
        <v>808</v>
      </c>
      <c r="D223" s="409">
        <v>6</v>
      </c>
      <c r="E223" s="401" t="s">
        <v>777</v>
      </c>
      <c r="F223" s="411"/>
      <c r="G223" s="402">
        <f>D223*F223</f>
        <v>0</v>
      </c>
    </row>
    <row r="224" spans="1:7" s="160" customFormat="1" ht="15.75" customHeight="1" x14ac:dyDescent="0.35">
      <c r="A224" s="398"/>
      <c r="B224" s="399"/>
      <c r="C224" s="400"/>
      <c r="D224" s="409"/>
      <c r="E224" s="401"/>
      <c r="F224" s="411"/>
      <c r="G224" s="402">
        <f t="shared" si="9"/>
        <v>0</v>
      </c>
    </row>
    <row r="225" spans="1:7" s="160" customFormat="1" ht="46.5" x14ac:dyDescent="0.35">
      <c r="A225" s="398"/>
      <c r="B225" s="399"/>
      <c r="C225" s="400" t="s">
        <v>809</v>
      </c>
      <c r="D225" s="409">
        <v>6</v>
      </c>
      <c r="E225" s="401" t="s">
        <v>810</v>
      </c>
      <c r="F225" s="411"/>
      <c r="G225" s="402">
        <f>D225*F225</f>
        <v>0</v>
      </c>
    </row>
    <row r="226" spans="1:7" s="160" customFormat="1" ht="15.75" customHeight="1" x14ac:dyDescent="0.35">
      <c r="A226" s="398"/>
      <c r="B226" s="399"/>
      <c r="C226" s="400"/>
      <c r="D226" s="409"/>
      <c r="E226" s="401"/>
      <c r="F226" s="411"/>
      <c r="G226" s="402">
        <f t="shared" si="9"/>
        <v>0</v>
      </c>
    </row>
    <row r="227" spans="1:7" ht="46.5" x14ac:dyDescent="0.35">
      <c r="C227" s="400" t="s">
        <v>812</v>
      </c>
      <c r="D227" s="409">
        <v>6</v>
      </c>
      <c r="E227" s="401" t="s">
        <v>777</v>
      </c>
      <c r="G227" s="402">
        <f>D227*F227</f>
        <v>0</v>
      </c>
    </row>
    <row r="228" spans="1:7" s="160" customFormat="1" ht="21.75" customHeight="1" x14ac:dyDescent="0.35">
      <c r="A228" s="398"/>
      <c r="B228" s="399"/>
      <c r="C228" s="400"/>
      <c r="D228" s="409"/>
      <c r="E228" s="401"/>
      <c r="F228" s="411"/>
      <c r="G228" s="402">
        <f t="shared" ref="G228" si="10">ROUND(D228*F228,2)</f>
        <v>0</v>
      </c>
    </row>
    <row r="229" spans="1:7" ht="46.5" x14ac:dyDescent="0.35">
      <c r="C229" s="400" t="s">
        <v>813</v>
      </c>
      <c r="D229" s="393">
        <v>12</v>
      </c>
      <c r="E229" s="401" t="s">
        <v>777</v>
      </c>
      <c r="G229" s="402">
        <f>D229*F229</f>
        <v>0</v>
      </c>
    </row>
    <row r="230" spans="1:7" s="160" customFormat="1" ht="21.75" customHeight="1" x14ac:dyDescent="0.35">
      <c r="A230" s="398"/>
      <c r="B230" s="399"/>
      <c r="C230" s="400"/>
      <c r="D230" s="409"/>
      <c r="E230" s="401"/>
      <c r="F230" s="411"/>
      <c r="G230" s="402">
        <f t="shared" ref="G230" si="11">ROUND(D230*F230,2)</f>
        <v>0</v>
      </c>
    </row>
    <row r="231" spans="1:7" ht="46.5" x14ac:dyDescent="0.35">
      <c r="C231" s="400" t="s">
        <v>811</v>
      </c>
      <c r="D231" s="393">
        <v>12</v>
      </c>
      <c r="E231" s="401" t="s">
        <v>777</v>
      </c>
      <c r="G231" s="402">
        <f>D231*F231</f>
        <v>0</v>
      </c>
    </row>
    <row r="232" spans="1:7" s="160" customFormat="1" ht="21" customHeight="1" x14ac:dyDescent="0.35">
      <c r="A232" s="398"/>
      <c r="B232" s="399"/>
      <c r="C232" s="400"/>
      <c r="D232" s="409"/>
      <c r="E232" s="401"/>
      <c r="F232" s="411"/>
      <c r="G232" s="402">
        <f t="shared" ref="G232" si="12">ROUND(D232*F232,2)</f>
        <v>0</v>
      </c>
    </row>
    <row r="233" spans="1:7" ht="46.5" x14ac:dyDescent="0.35">
      <c r="C233" s="400" t="s">
        <v>814</v>
      </c>
      <c r="D233" s="393">
        <v>6</v>
      </c>
      <c r="E233" s="401" t="s">
        <v>777</v>
      </c>
      <c r="G233" s="402">
        <f>D233*F233</f>
        <v>0</v>
      </c>
    </row>
    <row r="234" spans="1:7" s="160" customFormat="1" x14ac:dyDescent="0.35">
      <c r="A234" s="398"/>
      <c r="B234" s="399"/>
      <c r="C234" s="400"/>
      <c r="D234" s="409"/>
      <c r="E234" s="401"/>
      <c r="F234" s="411"/>
      <c r="G234" s="402">
        <f t="shared" ref="G234" si="13">ROUND(D234*F234,2)</f>
        <v>0</v>
      </c>
    </row>
    <row r="235" spans="1:7" ht="46.5" x14ac:dyDescent="0.35">
      <c r="C235" s="400" t="s">
        <v>815</v>
      </c>
      <c r="D235" s="393">
        <v>6</v>
      </c>
      <c r="E235" s="401" t="s">
        <v>777</v>
      </c>
      <c r="G235" s="402">
        <f>D235*F235</f>
        <v>0</v>
      </c>
    </row>
    <row r="236" spans="1:7" s="160" customFormat="1" x14ac:dyDescent="0.35">
      <c r="A236" s="398"/>
      <c r="B236" s="399"/>
      <c r="C236" s="400"/>
      <c r="D236" s="409"/>
      <c r="E236" s="401"/>
      <c r="F236" s="411"/>
      <c r="G236" s="402">
        <f t="shared" ref="G236" si="14">ROUND(D236*F236,2)</f>
        <v>0</v>
      </c>
    </row>
    <row r="237" spans="1:7" s="160" customFormat="1" ht="116.25" x14ac:dyDescent="0.35">
      <c r="A237" s="398"/>
      <c r="B237" s="399"/>
      <c r="C237" s="400" t="s">
        <v>937</v>
      </c>
      <c r="D237" s="409">
        <v>6</v>
      </c>
      <c r="E237" s="401" t="s">
        <v>761</v>
      </c>
      <c r="F237" s="411"/>
      <c r="G237" s="402">
        <f>D237*F237</f>
        <v>0</v>
      </c>
    </row>
    <row r="238" spans="1:7" s="160" customFormat="1" x14ac:dyDescent="0.35">
      <c r="A238" s="398"/>
      <c r="B238" s="399"/>
      <c r="C238" s="400"/>
      <c r="D238" s="409"/>
      <c r="E238" s="401"/>
      <c r="F238" s="411"/>
      <c r="G238" s="402">
        <f t="shared" ref="G238:G248" si="15">ROUND(D238*F238,2)</f>
        <v>0</v>
      </c>
    </row>
    <row r="239" spans="1:7" s="160" customFormat="1" ht="46.5" x14ac:dyDescent="0.35">
      <c r="A239" s="398"/>
      <c r="B239" s="399"/>
      <c r="C239" s="400" t="s">
        <v>822</v>
      </c>
      <c r="D239" s="409">
        <v>48</v>
      </c>
      <c r="E239" s="401" t="s">
        <v>761</v>
      </c>
      <c r="F239" s="411"/>
      <c r="G239" s="402">
        <f>D239*F239</f>
        <v>0</v>
      </c>
    </row>
    <row r="240" spans="1:7" s="160" customFormat="1" ht="24" thickBot="1" x14ac:dyDescent="0.4">
      <c r="A240" s="398"/>
      <c r="B240" s="399"/>
      <c r="C240" s="400"/>
      <c r="D240" s="409"/>
      <c r="E240" s="401"/>
      <c r="F240" s="411"/>
      <c r="G240" s="402">
        <f t="shared" si="15"/>
        <v>0</v>
      </c>
    </row>
    <row r="241" spans="1:7" s="160" customFormat="1" ht="24" thickBot="1" x14ac:dyDescent="0.4">
      <c r="A241" s="398"/>
      <c r="B241" s="399"/>
      <c r="C241" s="404" t="s">
        <v>760</v>
      </c>
      <c r="D241" s="409"/>
      <c r="E241" s="401"/>
      <c r="F241" s="411"/>
      <c r="G241" s="405">
        <f>SUM(G210:G240)</f>
        <v>0</v>
      </c>
    </row>
    <row r="242" spans="1:7" s="160" customFormat="1" ht="24" thickBot="1" x14ac:dyDescent="0.4">
      <c r="A242" s="398"/>
      <c r="B242" s="399"/>
      <c r="C242" s="400"/>
      <c r="D242" s="409"/>
      <c r="E242" s="401"/>
      <c r="F242" s="411"/>
      <c r="G242" s="402">
        <f t="shared" si="15"/>
        <v>0</v>
      </c>
    </row>
    <row r="243" spans="1:7" ht="18.75" customHeight="1" x14ac:dyDescent="0.35">
      <c r="A243" s="383"/>
      <c r="B243" s="384"/>
      <c r="C243" s="385"/>
      <c r="D243" s="386"/>
      <c r="E243" s="387"/>
      <c r="F243" s="410"/>
      <c r="G243" s="387"/>
    </row>
    <row r="244" spans="1:7" s="160" customFormat="1" x14ac:dyDescent="0.35">
      <c r="A244" s="388"/>
      <c r="B244" s="389"/>
      <c r="C244" s="390"/>
      <c r="D244" s="391"/>
      <c r="E244" s="391"/>
      <c r="F244" s="393" t="s">
        <v>2</v>
      </c>
      <c r="G244" s="393"/>
    </row>
    <row r="245" spans="1:7" s="160" customFormat="1" ht="24" thickBot="1" x14ac:dyDescent="0.4">
      <c r="A245" s="394"/>
      <c r="B245" s="395"/>
      <c r="C245" s="396" t="s">
        <v>753</v>
      </c>
      <c r="D245" s="397" t="s">
        <v>3</v>
      </c>
      <c r="E245" s="397" t="s">
        <v>1</v>
      </c>
      <c r="F245" s="397" t="s">
        <v>4</v>
      </c>
      <c r="G245" s="397" t="s">
        <v>5</v>
      </c>
    </row>
    <row r="246" spans="1:7" s="160" customFormat="1" ht="18" customHeight="1" x14ac:dyDescent="0.35">
      <c r="A246" s="398"/>
      <c r="B246" s="399"/>
      <c r="C246" s="400"/>
      <c r="D246" s="409"/>
      <c r="E246" s="401"/>
      <c r="F246" s="411"/>
      <c r="G246" s="402">
        <f t="shared" si="15"/>
        <v>0</v>
      </c>
    </row>
    <row r="247" spans="1:7" s="160" customFormat="1" x14ac:dyDescent="0.35">
      <c r="A247" s="398"/>
      <c r="B247" s="399"/>
      <c r="C247" s="412" t="s">
        <v>821</v>
      </c>
      <c r="D247" s="409"/>
      <c r="E247" s="401"/>
      <c r="F247" s="411"/>
      <c r="G247" s="402">
        <f t="shared" si="15"/>
        <v>0</v>
      </c>
    </row>
    <row r="248" spans="1:7" s="160" customFormat="1" x14ac:dyDescent="0.35">
      <c r="A248" s="398"/>
      <c r="B248" s="399"/>
      <c r="C248" s="400"/>
      <c r="D248" s="409"/>
      <c r="E248" s="401"/>
      <c r="F248" s="411"/>
      <c r="G248" s="402">
        <f t="shared" si="15"/>
        <v>0</v>
      </c>
    </row>
    <row r="249" spans="1:7" s="160" customFormat="1" ht="46.5" x14ac:dyDescent="0.35">
      <c r="A249" s="398"/>
      <c r="B249" s="399"/>
      <c r="C249" s="400" t="s">
        <v>848</v>
      </c>
      <c r="D249" s="409">
        <v>30</v>
      </c>
      <c r="E249" s="401" t="s">
        <v>777</v>
      </c>
      <c r="F249" s="411"/>
      <c r="G249" s="402">
        <f>D249*F249</f>
        <v>0</v>
      </c>
    </row>
    <row r="250" spans="1:7" s="160" customFormat="1" x14ac:dyDescent="0.35">
      <c r="A250" s="398"/>
      <c r="B250" s="399"/>
      <c r="C250" s="400"/>
      <c r="D250" s="409"/>
      <c r="E250" s="401"/>
      <c r="F250" s="411"/>
      <c r="G250" s="402">
        <f t="shared" ref="G250" si="16">ROUND(D250*F250,2)</f>
        <v>0</v>
      </c>
    </row>
    <row r="251" spans="1:7" s="160" customFormat="1" ht="69.75" x14ac:dyDescent="0.35">
      <c r="A251" s="398"/>
      <c r="B251" s="399"/>
      <c r="C251" s="400" t="s">
        <v>823</v>
      </c>
      <c r="D251" s="409">
        <v>6</v>
      </c>
      <c r="E251" s="401" t="s">
        <v>824</v>
      </c>
      <c r="F251" s="411"/>
      <c r="G251" s="402">
        <f>D251*F251</f>
        <v>0</v>
      </c>
    </row>
    <row r="252" spans="1:7" s="160" customFormat="1" x14ac:dyDescent="0.35">
      <c r="A252" s="398"/>
      <c r="B252" s="399"/>
      <c r="C252" s="400"/>
      <c r="D252" s="409"/>
      <c r="E252" s="401"/>
      <c r="F252" s="411"/>
      <c r="G252" s="402">
        <f t="shared" ref="G252:G259" si="17">ROUND(D252*F252,2)</f>
        <v>0</v>
      </c>
    </row>
    <row r="253" spans="1:7" s="160" customFormat="1" x14ac:dyDescent="0.35">
      <c r="A253" s="398"/>
      <c r="B253" s="399"/>
      <c r="C253" s="400"/>
      <c r="D253" s="409"/>
      <c r="E253" s="401"/>
      <c r="F253" s="411"/>
      <c r="G253" s="402">
        <f t="shared" si="17"/>
        <v>0</v>
      </c>
    </row>
    <row r="254" spans="1:7" s="160" customFormat="1" ht="162.75" x14ac:dyDescent="0.35">
      <c r="A254" s="398"/>
      <c r="B254" s="399"/>
      <c r="C254" s="400" t="s">
        <v>841</v>
      </c>
      <c r="D254" s="409">
        <v>30</v>
      </c>
      <c r="E254" s="401" t="s">
        <v>761</v>
      </c>
      <c r="F254" s="411"/>
      <c r="G254" s="402">
        <f>D254*F254</f>
        <v>0</v>
      </c>
    </row>
    <row r="255" spans="1:7" s="160" customFormat="1" ht="24" thickBot="1" x14ac:dyDescent="0.4">
      <c r="A255" s="398"/>
      <c r="B255" s="399"/>
      <c r="C255" s="400"/>
      <c r="D255" s="409"/>
      <c r="E255" s="401"/>
      <c r="F255" s="411"/>
      <c r="G255" s="402">
        <f t="shared" si="17"/>
        <v>0</v>
      </c>
    </row>
    <row r="256" spans="1:7" s="160" customFormat="1" ht="93.75" thickBot="1" x14ac:dyDescent="0.4">
      <c r="A256" s="398"/>
      <c r="B256" s="399"/>
      <c r="C256" s="400" t="s">
        <v>950</v>
      </c>
      <c r="D256" s="409">
        <v>1</v>
      </c>
      <c r="E256" s="401" t="s">
        <v>819</v>
      </c>
      <c r="F256" s="411"/>
      <c r="G256" s="433">
        <f>D256*F256</f>
        <v>0</v>
      </c>
    </row>
    <row r="257" spans="1:7" s="160" customFormat="1" ht="24" thickBot="1" x14ac:dyDescent="0.4">
      <c r="A257" s="398"/>
      <c r="B257" s="399"/>
      <c r="C257" s="400"/>
      <c r="D257" s="409"/>
      <c r="E257" s="401"/>
      <c r="F257" s="411"/>
      <c r="G257" s="402">
        <f t="shared" si="17"/>
        <v>0</v>
      </c>
    </row>
    <row r="258" spans="1:7" s="160" customFormat="1" ht="47.25" thickBot="1" x14ac:dyDescent="0.4">
      <c r="A258" s="398"/>
      <c r="B258" s="399"/>
      <c r="C258" s="400" t="s">
        <v>954</v>
      </c>
      <c r="D258" s="409">
        <v>1</v>
      </c>
      <c r="E258" s="401" t="s">
        <v>819</v>
      </c>
      <c r="F258" s="411"/>
      <c r="G258" s="433">
        <f>D258*F258</f>
        <v>0</v>
      </c>
    </row>
    <row r="259" spans="1:7" s="160" customFormat="1" x14ac:dyDescent="0.35">
      <c r="A259" s="398"/>
      <c r="B259" s="399"/>
      <c r="C259" s="400"/>
      <c r="D259" s="409"/>
      <c r="E259" s="401"/>
      <c r="F259" s="411"/>
      <c r="G259" s="402">
        <f t="shared" si="17"/>
        <v>0</v>
      </c>
    </row>
    <row r="260" spans="1:7" s="160" customFormat="1" ht="69.75" x14ac:dyDescent="0.35">
      <c r="A260" s="398"/>
      <c r="B260" s="399"/>
      <c r="C260" s="400" t="s">
        <v>818</v>
      </c>
      <c r="D260" s="409">
        <v>1</v>
      </c>
      <c r="E260" s="401" t="s">
        <v>756</v>
      </c>
      <c r="F260" s="411"/>
      <c r="G260" s="402">
        <f>D260*F260</f>
        <v>0</v>
      </c>
    </row>
    <row r="261" spans="1:7" s="160" customFormat="1" x14ac:dyDescent="0.35">
      <c r="A261" s="398"/>
      <c r="B261" s="399"/>
      <c r="C261" s="400"/>
      <c r="D261" s="409"/>
      <c r="E261" s="401"/>
      <c r="F261" s="411"/>
      <c r="G261" s="402">
        <f t="shared" ref="G261:G324" si="18">ROUND(D261*F261,2)</f>
        <v>0</v>
      </c>
    </row>
    <row r="262" spans="1:7" s="160" customFormat="1" x14ac:dyDescent="0.35">
      <c r="A262" s="398"/>
      <c r="B262" s="399"/>
      <c r="C262" s="400"/>
      <c r="D262" s="409"/>
      <c r="E262" s="401"/>
      <c r="F262" s="411"/>
      <c r="G262" s="402">
        <f t="shared" si="18"/>
        <v>0</v>
      </c>
    </row>
    <row r="263" spans="1:7" s="160" customFormat="1" x14ac:dyDescent="0.35">
      <c r="A263" s="398"/>
      <c r="B263" s="399"/>
      <c r="C263" s="400"/>
      <c r="D263" s="409"/>
      <c r="E263" s="401"/>
      <c r="F263" s="411"/>
      <c r="G263" s="402">
        <f t="shared" si="18"/>
        <v>0</v>
      </c>
    </row>
    <row r="264" spans="1:7" s="160" customFormat="1" x14ac:dyDescent="0.35">
      <c r="A264" s="398"/>
      <c r="B264" s="399"/>
      <c r="C264" s="400"/>
      <c r="D264" s="409"/>
      <c r="E264" s="401"/>
      <c r="F264" s="411"/>
      <c r="G264" s="402">
        <f t="shared" si="18"/>
        <v>0</v>
      </c>
    </row>
    <row r="265" spans="1:7" s="160" customFormat="1" x14ac:dyDescent="0.35">
      <c r="A265" s="398"/>
      <c r="B265" s="399"/>
      <c r="C265" s="400"/>
      <c r="D265" s="409"/>
      <c r="E265" s="401"/>
      <c r="F265" s="411"/>
      <c r="G265" s="402">
        <f t="shared" si="18"/>
        <v>0</v>
      </c>
    </row>
    <row r="266" spans="1:7" s="160" customFormat="1" x14ac:dyDescent="0.35">
      <c r="A266" s="398"/>
      <c r="B266" s="399"/>
      <c r="C266" s="400"/>
      <c r="D266" s="409"/>
      <c r="E266" s="401"/>
      <c r="F266" s="411"/>
      <c r="G266" s="402">
        <f t="shared" si="18"/>
        <v>0</v>
      </c>
    </row>
    <row r="267" spans="1:7" s="160" customFormat="1" x14ac:dyDescent="0.35">
      <c r="A267" s="398"/>
      <c r="B267" s="399"/>
      <c r="C267" s="400"/>
      <c r="D267" s="409"/>
      <c r="E267" s="401"/>
      <c r="F267" s="411"/>
      <c r="G267" s="402">
        <f t="shared" si="18"/>
        <v>0</v>
      </c>
    </row>
    <row r="268" spans="1:7" s="160" customFormat="1" x14ac:dyDescent="0.35">
      <c r="A268" s="398"/>
      <c r="B268" s="399"/>
      <c r="C268" s="400"/>
      <c r="D268" s="409"/>
      <c r="E268" s="401"/>
      <c r="F268" s="411"/>
      <c r="G268" s="402">
        <f t="shared" si="18"/>
        <v>0</v>
      </c>
    </row>
    <row r="269" spans="1:7" s="160" customFormat="1" x14ac:dyDescent="0.35">
      <c r="A269" s="398"/>
      <c r="B269" s="399"/>
      <c r="C269" s="400"/>
      <c r="D269" s="409"/>
      <c r="E269" s="401"/>
      <c r="F269" s="411"/>
      <c r="G269" s="402">
        <f t="shared" si="18"/>
        <v>0</v>
      </c>
    </row>
    <row r="270" spans="1:7" s="160" customFormat="1" x14ac:dyDescent="0.35">
      <c r="A270" s="398"/>
      <c r="B270" s="399"/>
      <c r="C270" s="400"/>
      <c r="D270" s="409"/>
      <c r="E270" s="401"/>
      <c r="F270" s="411"/>
      <c r="G270" s="402">
        <f t="shared" si="18"/>
        <v>0</v>
      </c>
    </row>
    <row r="271" spans="1:7" s="160" customFormat="1" x14ac:dyDescent="0.35">
      <c r="A271" s="398"/>
      <c r="B271" s="399"/>
      <c r="C271" s="400"/>
      <c r="D271" s="409"/>
      <c r="E271" s="401"/>
      <c r="F271" s="411"/>
      <c r="G271" s="402">
        <f t="shared" si="18"/>
        <v>0</v>
      </c>
    </row>
    <row r="272" spans="1:7" s="160" customFormat="1" x14ac:dyDescent="0.35">
      <c r="A272" s="398"/>
      <c r="B272" s="399"/>
      <c r="C272" s="400"/>
      <c r="D272" s="409"/>
      <c r="E272" s="401"/>
      <c r="F272" s="411"/>
      <c r="G272" s="402">
        <f t="shared" si="18"/>
        <v>0</v>
      </c>
    </row>
    <row r="273" spans="1:7" s="160" customFormat="1" x14ac:dyDescent="0.35">
      <c r="A273" s="398"/>
      <c r="B273" s="399"/>
      <c r="C273" s="400"/>
      <c r="D273" s="409"/>
      <c r="E273" s="401"/>
      <c r="F273" s="411"/>
      <c r="G273" s="402">
        <f t="shared" si="18"/>
        <v>0</v>
      </c>
    </row>
    <row r="274" spans="1:7" s="160" customFormat="1" x14ac:dyDescent="0.35">
      <c r="A274" s="398"/>
      <c r="B274" s="399"/>
      <c r="C274" s="400"/>
      <c r="D274" s="409"/>
      <c r="E274" s="401"/>
      <c r="F274" s="411"/>
      <c r="G274" s="402">
        <f t="shared" si="18"/>
        <v>0</v>
      </c>
    </row>
    <row r="275" spans="1:7" s="160" customFormat="1" ht="24" thickBot="1" x14ac:dyDescent="0.4">
      <c r="A275" s="398"/>
      <c r="B275" s="399"/>
      <c r="C275" s="400"/>
      <c r="D275" s="409"/>
      <c r="E275" s="401"/>
      <c r="F275" s="411"/>
      <c r="G275" s="402">
        <f t="shared" si="18"/>
        <v>0</v>
      </c>
    </row>
    <row r="276" spans="1:7" s="160" customFormat="1" ht="24" thickBot="1" x14ac:dyDescent="0.4">
      <c r="A276" s="398"/>
      <c r="B276" s="399"/>
      <c r="C276" s="404" t="s">
        <v>760</v>
      </c>
      <c r="D276" s="409"/>
      <c r="E276" s="401"/>
      <c r="F276" s="411"/>
      <c r="G276" s="405">
        <f>SUM(G247:G275)</f>
        <v>0</v>
      </c>
    </row>
    <row r="277" spans="1:7" s="160" customFormat="1" x14ac:dyDescent="0.35">
      <c r="A277" s="398"/>
      <c r="B277" s="399"/>
      <c r="C277" s="400"/>
      <c r="D277" s="409"/>
      <c r="E277" s="401"/>
      <c r="F277" s="411"/>
      <c r="G277" s="402">
        <f t="shared" si="18"/>
        <v>0</v>
      </c>
    </row>
    <row r="278" spans="1:7" s="160" customFormat="1" x14ac:dyDescent="0.35">
      <c r="A278" s="398"/>
      <c r="B278" s="399"/>
      <c r="C278" s="400"/>
      <c r="D278" s="409"/>
      <c r="E278" s="401"/>
      <c r="F278" s="411"/>
      <c r="G278" s="402">
        <f t="shared" si="18"/>
        <v>0</v>
      </c>
    </row>
    <row r="279" spans="1:7" s="160" customFormat="1" ht="24" thickBot="1" x14ac:dyDescent="0.4">
      <c r="A279" s="398"/>
      <c r="B279" s="399"/>
      <c r="C279" s="400"/>
      <c r="D279" s="409"/>
      <c r="E279" s="401"/>
      <c r="F279" s="411"/>
      <c r="G279" s="402">
        <f t="shared" si="18"/>
        <v>0</v>
      </c>
    </row>
    <row r="280" spans="1:7" ht="18.75" customHeight="1" x14ac:dyDescent="0.35">
      <c r="A280" s="383"/>
      <c r="B280" s="384"/>
      <c r="C280" s="385"/>
      <c r="D280" s="386"/>
      <c r="E280" s="387"/>
      <c r="F280" s="410"/>
      <c r="G280" s="387"/>
    </row>
    <row r="281" spans="1:7" s="160" customFormat="1" x14ac:dyDescent="0.35">
      <c r="A281" s="388"/>
      <c r="B281" s="389"/>
      <c r="C281" s="390"/>
      <c r="D281" s="391"/>
      <c r="E281" s="391"/>
      <c r="F281" s="393" t="s">
        <v>2</v>
      </c>
      <c r="G281" s="393"/>
    </row>
    <row r="282" spans="1:7" s="160" customFormat="1" ht="24" thickBot="1" x14ac:dyDescent="0.4">
      <c r="A282" s="394"/>
      <c r="B282" s="395"/>
      <c r="C282" s="396" t="s">
        <v>753</v>
      </c>
      <c r="D282" s="397" t="s">
        <v>3</v>
      </c>
      <c r="E282" s="397" t="s">
        <v>1</v>
      </c>
      <c r="F282" s="397" t="s">
        <v>4</v>
      </c>
      <c r="G282" s="397" t="s">
        <v>5</v>
      </c>
    </row>
    <row r="283" spans="1:7" s="160" customFormat="1" ht="18" customHeight="1" x14ac:dyDescent="0.35">
      <c r="A283" s="398"/>
      <c r="B283" s="399"/>
      <c r="C283" s="400"/>
      <c r="D283" s="409"/>
      <c r="E283" s="401"/>
      <c r="F283" s="411"/>
      <c r="G283" s="402">
        <f t="shared" ref="G283:G284" si="19">ROUND(D283*F283,2)</f>
        <v>0</v>
      </c>
    </row>
    <row r="284" spans="1:7" s="160" customFormat="1" x14ac:dyDescent="0.35">
      <c r="A284" s="398"/>
      <c r="B284" s="399"/>
      <c r="C284" s="412" t="s">
        <v>820</v>
      </c>
      <c r="D284" s="409"/>
      <c r="E284" s="401"/>
      <c r="F284" s="411"/>
      <c r="G284" s="402">
        <f t="shared" si="19"/>
        <v>0</v>
      </c>
    </row>
    <row r="285" spans="1:7" s="160" customFormat="1" x14ac:dyDescent="0.35">
      <c r="A285" s="398"/>
      <c r="B285" s="399"/>
      <c r="C285" s="400"/>
      <c r="D285" s="409"/>
      <c r="E285" s="401"/>
      <c r="F285" s="411"/>
      <c r="G285" s="402">
        <f t="shared" si="18"/>
        <v>0</v>
      </c>
    </row>
    <row r="286" spans="1:7" s="160" customFormat="1" x14ac:dyDescent="0.35">
      <c r="A286" s="398"/>
      <c r="B286" s="399"/>
      <c r="C286" s="400"/>
      <c r="D286" s="409"/>
      <c r="E286" s="401"/>
      <c r="F286" s="411"/>
      <c r="G286" s="402">
        <f t="shared" ref="G286:G298" si="20">D286*F286</f>
        <v>0</v>
      </c>
    </row>
    <row r="287" spans="1:7" s="160" customFormat="1" ht="24" thickBot="1" x14ac:dyDescent="0.4">
      <c r="A287" s="398"/>
      <c r="B287" s="399"/>
      <c r="C287" s="400"/>
      <c r="D287" s="409"/>
      <c r="E287" s="401"/>
      <c r="F287" s="411"/>
      <c r="G287" s="402">
        <f t="shared" si="20"/>
        <v>0</v>
      </c>
    </row>
    <row r="288" spans="1:7" s="160" customFormat="1" ht="47.25" thickBot="1" x14ac:dyDescent="0.4">
      <c r="A288" s="398"/>
      <c r="B288" s="399"/>
      <c r="C288" s="400" t="s">
        <v>952</v>
      </c>
      <c r="D288" s="409">
        <v>1</v>
      </c>
      <c r="E288" s="401" t="s">
        <v>756</v>
      </c>
      <c r="F288" s="411"/>
      <c r="G288" s="433">
        <f t="shared" si="20"/>
        <v>0</v>
      </c>
    </row>
    <row r="289" spans="1:7" s="160" customFormat="1" x14ac:dyDescent="0.35">
      <c r="A289" s="398"/>
      <c r="B289" s="399"/>
      <c r="C289" s="400"/>
      <c r="D289" s="409"/>
      <c r="E289" s="401"/>
      <c r="F289" s="411"/>
      <c r="G289" s="402">
        <f t="shared" si="20"/>
        <v>0</v>
      </c>
    </row>
    <row r="290" spans="1:7" s="160" customFormat="1" x14ac:dyDescent="0.35">
      <c r="A290" s="398"/>
      <c r="B290" s="399"/>
      <c r="C290" s="400"/>
      <c r="D290" s="409"/>
      <c r="E290" s="401"/>
      <c r="F290" s="411"/>
      <c r="G290" s="402">
        <f t="shared" si="20"/>
        <v>0</v>
      </c>
    </row>
    <row r="291" spans="1:7" s="160" customFormat="1" x14ac:dyDescent="0.35">
      <c r="A291" s="398"/>
      <c r="B291" s="399"/>
      <c r="C291" s="400"/>
      <c r="D291" s="409"/>
      <c r="E291" s="401"/>
      <c r="F291" s="411"/>
      <c r="G291" s="402">
        <f t="shared" si="20"/>
        <v>0</v>
      </c>
    </row>
    <row r="292" spans="1:7" s="160" customFormat="1" x14ac:dyDescent="0.35">
      <c r="A292" s="398"/>
      <c r="B292" s="399"/>
      <c r="C292" s="400" t="s">
        <v>949</v>
      </c>
      <c r="D292" s="409">
        <v>1</v>
      </c>
      <c r="E292" s="401" t="s">
        <v>756</v>
      </c>
      <c r="F292" s="411"/>
      <c r="G292" s="402">
        <f t="shared" si="20"/>
        <v>0</v>
      </c>
    </row>
    <row r="293" spans="1:7" s="160" customFormat="1" x14ac:dyDescent="0.35">
      <c r="A293" s="398"/>
      <c r="B293" s="399"/>
      <c r="C293" s="400"/>
      <c r="D293" s="409"/>
      <c r="E293" s="401"/>
      <c r="F293" s="411"/>
      <c r="G293" s="402">
        <f t="shared" si="20"/>
        <v>0</v>
      </c>
    </row>
    <row r="294" spans="1:7" s="160" customFormat="1" x14ac:dyDescent="0.35">
      <c r="A294" s="398"/>
      <c r="B294" s="399"/>
      <c r="C294" s="400"/>
      <c r="D294" s="409"/>
      <c r="E294" s="401"/>
      <c r="F294" s="411"/>
      <c r="G294" s="402">
        <f t="shared" si="20"/>
        <v>0</v>
      </c>
    </row>
    <row r="295" spans="1:7" s="160" customFormat="1" x14ac:dyDescent="0.35">
      <c r="A295" s="398"/>
      <c r="B295" s="399"/>
      <c r="C295" s="400"/>
      <c r="D295" s="409"/>
      <c r="E295" s="401"/>
      <c r="F295" s="411"/>
      <c r="G295" s="402">
        <f t="shared" si="20"/>
        <v>0</v>
      </c>
    </row>
    <row r="296" spans="1:7" s="160" customFormat="1" x14ac:dyDescent="0.35">
      <c r="A296" s="398"/>
      <c r="B296" s="399"/>
      <c r="C296" s="400"/>
      <c r="D296" s="409"/>
      <c r="E296" s="401"/>
      <c r="F296" s="411"/>
      <c r="G296" s="402">
        <f t="shared" si="20"/>
        <v>0</v>
      </c>
    </row>
    <row r="297" spans="1:7" s="160" customFormat="1" x14ac:dyDescent="0.35">
      <c r="A297" s="398"/>
      <c r="B297" s="399"/>
      <c r="C297" s="400"/>
      <c r="D297" s="409"/>
      <c r="E297" s="401"/>
      <c r="F297" s="411"/>
      <c r="G297" s="402">
        <f t="shared" si="20"/>
        <v>0</v>
      </c>
    </row>
    <row r="298" spans="1:7" s="160" customFormat="1" x14ac:dyDescent="0.35">
      <c r="A298" s="398"/>
      <c r="B298" s="399"/>
      <c r="C298" s="400"/>
      <c r="D298" s="409"/>
      <c r="E298" s="401"/>
      <c r="F298" s="411"/>
      <c r="G298" s="402">
        <f t="shared" si="20"/>
        <v>0</v>
      </c>
    </row>
    <row r="299" spans="1:7" s="160" customFormat="1" x14ac:dyDescent="0.35">
      <c r="A299" s="398"/>
      <c r="B299" s="399"/>
      <c r="C299" s="400"/>
      <c r="D299" s="409"/>
      <c r="E299" s="401"/>
      <c r="F299" s="411"/>
      <c r="G299" s="402">
        <f t="shared" si="18"/>
        <v>0</v>
      </c>
    </row>
    <row r="300" spans="1:7" s="160" customFormat="1" x14ac:dyDescent="0.35">
      <c r="A300" s="398"/>
      <c r="B300" s="399"/>
      <c r="C300" s="400"/>
      <c r="D300" s="409"/>
      <c r="E300" s="401"/>
      <c r="F300" s="411"/>
      <c r="G300" s="402">
        <f>D300*F300</f>
        <v>0</v>
      </c>
    </row>
    <row r="301" spans="1:7" s="160" customFormat="1" x14ac:dyDescent="0.35">
      <c r="A301" s="398"/>
      <c r="B301" s="399"/>
      <c r="C301" s="400"/>
      <c r="D301" s="409"/>
      <c r="E301" s="401"/>
      <c r="F301" s="411"/>
      <c r="G301" s="402">
        <f t="shared" ref="G301:G306" si="21">D301*F301</f>
        <v>0</v>
      </c>
    </row>
    <row r="302" spans="1:7" s="160" customFormat="1" x14ac:dyDescent="0.35">
      <c r="A302" s="398"/>
      <c r="B302" s="399"/>
      <c r="C302" s="400"/>
      <c r="D302" s="409"/>
      <c r="E302" s="401"/>
      <c r="F302" s="411"/>
      <c r="G302" s="402">
        <f t="shared" si="21"/>
        <v>0</v>
      </c>
    </row>
    <row r="303" spans="1:7" s="160" customFormat="1" x14ac:dyDescent="0.35">
      <c r="A303" s="398"/>
      <c r="B303" s="399"/>
      <c r="C303" s="400"/>
      <c r="D303" s="409"/>
      <c r="E303" s="401"/>
      <c r="F303" s="411"/>
      <c r="G303" s="402">
        <f t="shared" si="21"/>
        <v>0</v>
      </c>
    </row>
    <row r="304" spans="1:7" s="160" customFormat="1" x14ac:dyDescent="0.35">
      <c r="A304" s="398"/>
      <c r="B304" s="399"/>
      <c r="C304" s="400"/>
      <c r="D304" s="409"/>
      <c r="E304" s="401"/>
      <c r="F304" s="411"/>
      <c r="G304" s="402">
        <f t="shared" si="21"/>
        <v>0</v>
      </c>
    </row>
    <row r="305" spans="1:7" s="160" customFormat="1" x14ac:dyDescent="0.35">
      <c r="A305" s="398"/>
      <c r="B305" s="399"/>
      <c r="C305" s="400"/>
      <c r="D305" s="409"/>
      <c r="E305" s="401"/>
      <c r="F305" s="411"/>
      <c r="G305" s="402">
        <f t="shared" si="21"/>
        <v>0</v>
      </c>
    </row>
    <row r="306" spans="1:7" s="160" customFormat="1" x14ac:dyDescent="0.35">
      <c r="A306" s="398"/>
      <c r="B306" s="399"/>
      <c r="C306" s="400"/>
      <c r="D306" s="409"/>
      <c r="E306" s="401"/>
      <c r="F306" s="411"/>
      <c r="G306" s="402">
        <f t="shared" si="21"/>
        <v>0</v>
      </c>
    </row>
    <row r="307" spans="1:7" s="160" customFormat="1" x14ac:dyDescent="0.35">
      <c r="A307" s="398"/>
      <c r="B307" s="399"/>
      <c r="C307" s="400"/>
      <c r="D307" s="409"/>
      <c r="E307" s="401"/>
      <c r="F307" s="411"/>
      <c r="G307" s="402">
        <f t="shared" si="18"/>
        <v>0</v>
      </c>
    </row>
    <row r="308" spans="1:7" s="160" customFormat="1" x14ac:dyDescent="0.35">
      <c r="A308" s="398"/>
      <c r="B308" s="399"/>
      <c r="C308" s="400"/>
      <c r="D308" s="409"/>
      <c r="E308" s="401"/>
      <c r="F308" s="411"/>
      <c r="G308" s="402">
        <f t="shared" si="18"/>
        <v>0</v>
      </c>
    </row>
    <row r="309" spans="1:7" s="160" customFormat="1" x14ac:dyDescent="0.35">
      <c r="A309" s="398"/>
      <c r="B309" s="399"/>
      <c r="C309" s="400"/>
      <c r="D309" s="409"/>
      <c r="E309" s="401"/>
      <c r="F309" s="411"/>
      <c r="G309" s="402">
        <f t="shared" si="18"/>
        <v>0</v>
      </c>
    </row>
    <row r="310" spans="1:7" s="160" customFormat="1" x14ac:dyDescent="0.35">
      <c r="A310" s="398"/>
      <c r="B310" s="399"/>
      <c r="C310" s="400"/>
      <c r="D310" s="409"/>
      <c r="E310" s="401"/>
      <c r="F310" s="411"/>
      <c r="G310" s="402">
        <f t="shared" si="18"/>
        <v>0</v>
      </c>
    </row>
    <row r="311" spans="1:7" s="160" customFormat="1" x14ac:dyDescent="0.35">
      <c r="A311" s="398"/>
      <c r="B311" s="399"/>
      <c r="C311" s="400"/>
      <c r="D311" s="409"/>
      <c r="E311" s="401"/>
      <c r="F311" s="411"/>
      <c r="G311" s="402">
        <f t="shared" si="18"/>
        <v>0</v>
      </c>
    </row>
    <row r="312" spans="1:7" s="160" customFormat="1" x14ac:dyDescent="0.35">
      <c r="A312" s="398"/>
      <c r="B312" s="399"/>
      <c r="C312" s="400"/>
      <c r="D312" s="409"/>
      <c r="E312" s="401"/>
      <c r="F312" s="411"/>
      <c r="G312" s="402">
        <f t="shared" si="18"/>
        <v>0</v>
      </c>
    </row>
    <row r="313" spans="1:7" s="160" customFormat="1" x14ac:dyDescent="0.35">
      <c r="A313" s="398"/>
      <c r="B313" s="399"/>
      <c r="C313" s="400"/>
      <c r="D313" s="409"/>
      <c r="E313" s="401"/>
      <c r="F313" s="411"/>
      <c r="G313" s="402">
        <f t="shared" si="18"/>
        <v>0</v>
      </c>
    </row>
    <row r="314" spans="1:7" s="160" customFormat="1" x14ac:dyDescent="0.35">
      <c r="A314" s="398"/>
      <c r="B314" s="399"/>
      <c r="C314" s="400"/>
      <c r="D314" s="409"/>
      <c r="E314" s="401"/>
      <c r="F314" s="411"/>
      <c r="G314" s="402">
        <f t="shared" si="18"/>
        <v>0</v>
      </c>
    </row>
    <row r="315" spans="1:7" s="160" customFormat="1" x14ac:dyDescent="0.35">
      <c r="A315" s="398"/>
      <c r="B315" s="399"/>
      <c r="C315" s="400"/>
      <c r="D315" s="409"/>
      <c r="E315" s="401"/>
      <c r="F315" s="411"/>
      <c r="G315" s="402">
        <f t="shared" si="18"/>
        <v>0</v>
      </c>
    </row>
    <row r="316" spans="1:7" s="160" customFormat="1" x14ac:dyDescent="0.35">
      <c r="A316" s="398"/>
      <c r="B316" s="399"/>
      <c r="C316" s="400"/>
      <c r="D316" s="409"/>
      <c r="E316" s="401"/>
      <c r="F316" s="411"/>
      <c r="G316" s="402">
        <f t="shared" si="18"/>
        <v>0</v>
      </c>
    </row>
    <row r="317" spans="1:7" s="160" customFormat="1" x14ac:dyDescent="0.35">
      <c r="A317" s="398"/>
      <c r="B317" s="399"/>
      <c r="C317" s="400"/>
      <c r="D317" s="409"/>
      <c r="E317" s="401"/>
      <c r="F317" s="411"/>
      <c r="G317" s="402">
        <f t="shared" si="18"/>
        <v>0</v>
      </c>
    </row>
    <row r="318" spans="1:7" s="160" customFormat="1" x14ac:dyDescent="0.35">
      <c r="A318" s="398"/>
      <c r="B318" s="399"/>
      <c r="C318" s="400"/>
      <c r="D318" s="409"/>
      <c r="E318" s="401"/>
      <c r="F318" s="411"/>
      <c r="G318" s="402">
        <f t="shared" si="18"/>
        <v>0</v>
      </c>
    </row>
    <row r="319" spans="1:7" s="160" customFormat="1" x14ac:dyDescent="0.35">
      <c r="A319" s="398"/>
      <c r="B319" s="399"/>
      <c r="C319" s="400"/>
      <c r="D319" s="409"/>
      <c r="E319" s="401"/>
      <c r="F319" s="411"/>
      <c r="G319" s="402">
        <f t="shared" si="18"/>
        <v>0</v>
      </c>
    </row>
    <row r="320" spans="1:7" s="160" customFormat="1" x14ac:dyDescent="0.35">
      <c r="A320" s="398"/>
      <c r="B320" s="399"/>
      <c r="C320" s="400"/>
      <c r="D320" s="409"/>
      <c r="E320" s="401"/>
      <c r="F320" s="411"/>
      <c r="G320" s="402">
        <f t="shared" si="18"/>
        <v>0</v>
      </c>
    </row>
    <row r="321" spans="1:7" s="160" customFormat="1" x14ac:dyDescent="0.35">
      <c r="A321" s="398"/>
      <c r="B321" s="399"/>
      <c r="C321" s="400"/>
      <c r="D321" s="409"/>
      <c r="E321" s="401"/>
      <c r="F321" s="411"/>
      <c r="G321" s="402"/>
    </row>
    <row r="322" spans="1:7" s="160" customFormat="1" ht="24" thickBot="1" x14ac:dyDescent="0.4">
      <c r="A322" s="398"/>
      <c r="B322" s="399"/>
      <c r="C322" s="400"/>
      <c r="D322" s="409"/>
      <c r="E322" s="401"/>
      <c r="F322" s="411"/>
      <c r="G322" s="402">
        <f t="shared" si="18"/>
        <v>0</v>
      </c>
    </row>
    <row r="323" spans="1:7" s="160" customFormat="1" ht="24" thickBot="1" x14ac:dyDescent="0.4">
      <c r="A323" s="398"/>
      <c r="B323" s="399"/>
      <c r="C323" s="404" t="s">
        <v>760</v>
      </c>
      <c r="D323" s="409"/>
      <c r="E323" s="401"/>
      <c r="F323" s="411"/>
      <c r="G323" s="405">
        <f>SUM(G285:G322)</f>
        <v>0</v>
      </c>
    </row>
    <row r="324" spans="1:7" s="160" customFormat="1" x14ac:dyDescent="0.35">
      <c r="A324" s="398"/>
      <c r="B324" s="399"/>
      <c r="C324" s="400"/>
      <c r="D324" s="409"/>
      <c r="E324" s="401"/>
      <c r="F324" s="411"/>
      <c r="G324" s="402">
        <f t="shared" si="18"/>
        <v>0</v>
      </c>
    </row>
    <row r="325" spans="1:7" s="160" customFormat="1" x14ac:dyDescent="0.35">
      <c r="A325" s="398"/>
      <c r="B325" s="399"/>
      <c r="C325" s="400"/>
      <c r="D325" s="409"/>
      <c r="E325" s="401"/>
      <c r="F325" s="411"/>
      <c r="G325" s="402">
        <f t="shared" ref="G325:G384" si="22">ROUND(D325*F325,2)</f>
        <v>0</v>
      </c>
    </row>
    <row r="326" spans="1:7" s="160" customFormat="1" x14ac:dyDescent="0.35">
      <c r="A326" s="398"/>
      <c r="B326" s="399"/>
      <c r="C326" s="400"/>
      <c r="D326" s="409"/>
      <c r="E326" s="401"/>
      <c r="F326" s="411"/>
      <c r="G326" s="402">
        <f t="shared" si="22"/>
        <v>0</v>
      </c>
    </row>
    <row r="327" spans="1:7" s="160" customFormat="1" x14ac:dyDescent="0.35">
      <c r="A327" s="398"/>
      <c r="B327" s="399"/>
      <c r="C327" s="400"/>
      <c r="D327" s="409"/>
      <c r="E327" s="401"/>
      <c r="F327" s="411"/>
      <c r="G327" s="402">
        <f t="shared" si="22"/>
        <v>0</v>
      </c>
    </row>
    <row r="328" spans="1:7" s="160" customFormat="1" x14ac:dyDescent="0.35">
      <c r="A328" s="398"/>
      <c r="B328" s="399"/>
      <c r="C328" s="400"/>
      <c r="D328" s="409"/>
      <c r="E328" s="401"/>
      <c r="F328" s="411"/>
      <c r="G328" s="402">
        <f t="shared" si="22"/>
        <v>0</v>
      </c>
    </row>
    <row r="329" spans="1:7" s="160" customFormat="1" x14ac:dyDescent="0.35">
      <c r="A329" s="398"/>
      <c r="B329" s="399"/>
      <c r="C329" s="400"/>
      <c r="D329" s="409"/>
      <c r="E329" s="401"/>
      <c r="F329" s="411"/>
      <c r="G329" s="402">
        <f t="shared" si="22"/>
        <v>0</v>
      </c>
    </row>
    <row r="330" spans="1:7" s="160" customFormat="1" ht="24" thickBot="1" x14ac:dyDescent="0.4">
      <c r="A330" s="398"/>
      <c r="B330" s="399"/>
      <c r="C330" s="400"/>
      <c r="D330" s="409"/>
      <c r="E330" s="401"/>
      <c r="F330" s="411"/>
      <c r="G330" s="402">
        <f t="shared" si="22"/>
        <v>0</v>
      </c>
    </row>
    <row r="331" spans="1:7" ht="18.75" customHeight="1" x14ac:dyDescent="0.35">
      <c r="A331" s="383"/>
      <c r="B331" s="384"/>
      <c r="C331" s="385"/>
      <c r="D331" s="386"/>
      <c r="E331" s="387"/>
      <c r="F331" s="410"/>
      <c r="G331" s="387"/>
    </row>
    <row r="332" spans="1:7" s="160" customFormat="1" x14ac:dyDescent="0.35">
      <c r="A332" s="388"/>
      <c r="B332" s="389"/>
      <c r="C332" s="390"/>
      <c r="D332" s="391"/>
      <c r="E332" s="391"/>
      <c r="F332" s="393" t="s">
        <v>2</v>
      </c>
      <c r="G332" s="393"/>
    </row>
    <row r="333" spans="1:7" s="160" customFormat="1" ht="24" thickBot="1" x14ac:dyDescent="0.4">
      <c r="A333" s="394"/>
      <c r="B333" s="395"/>
      <c r="C333" s="396" t="s">
        <v>753</v>
      </c>
      <c r="D333" s="397" t="s">
        <v>3</v>
      </c>
      <c r="E333" s="397" t="s">
        <v>1</v>
      </c>
      <c r="F333" s="397" t="s">
        <v>4</v>
      </c>
      <c r="G333" s="397" t="s">
        <v>5</v>
      </c>
    </row>
    <row r="334" spans="1:7" s="160" customFormat="1" ht="18" customHeight="1" x14ac:dyDescent="0.35">
      <c r="A334" s="398"/>
      <c r="B334" s="399"/>
      <c r="C334" s="400"/>
      <c r="D334" s="409"/>
      <c r="E334" s="401"/>
      <c r="F334" s="411"/>
      <c r="G334" s="402">
        <f t="shared" ref="G334:G335" si="23">ROUND(D334*F334,2)</f>
        <v>0</v>
      </c>
    </row>
    <row r="335" spans="1:7" s="160" customFormat="1" x14ac:dyDescent="0.35">
      <c r="A335" s="398"/>
      <c r="B335" s="399"/>
      <c r="C335" s="412" t="s">
        <v>825</v>
      </c>
      <c r="D335" s="409"/>
      <c r="E335" s="401"/>
      <c r="F335" s="411"/>
      <c r="G335" s="402">
        <f t="shared" si="23"/>
        <v>0</v>
      </c>
    </row>
    <row r="336" spans="1:7" s="160" customFormat="1" x14ac:dyDescent="0.35">
      <c r="A336" s="398"/>
      <c r="B336" s="399"/>
      <c r="C336" s="400"/>
      <c r="D336" s="409"/>
      <c r="E336" s="401"/>
      <c r="F336" s="411"/>
      <c r="G336" s="402">
        <f t="shared" si="22"/>
        <v>0</v>
      </c>
    </row>
    <row r="337" spans="1:7" s="160" customFormat="1" x14ac:dyDescent="0.35">
      <c r="A337" s="398"/>
      <c r="B337" s="399"/>
      <c r="C337" s="400"/>
      <c r="D337" s="409"/>
      <c r="E337" s="401"/>
      <c r="F337" s="411"/>
      <c r="G337" s="402">
        <f t="shared" si="22"/>
        <v>0</v>
      </c>
    </row>
    <row r="338" spans="1:7" s="160" customFormat="1" ht="24" thickBot="1" x14ac:dyDescent="0.4">
      <c r="A338" s="398"/>
      <c r="B338" s="399"/>
      <c r="C338" s="400"/>
      <c r="D338" s="409"/>
      <c r="E338" s="401"/>
      <c r="F338" s="411"/>
      <c r="G338" s="402">
        <f t="shared" si="22"/>
        <v>0</v>
      </c>
    </row>
    <row r="339" spans="1:7" s="160" customFormat="1" ht="47.25" thickBot="1" x14ac:dyDescent="0.4">
      <c r="A339" s="398"/>
      <c r="B339" s="399"/>
      <c r="C339" s="400" t="s">
        <v>953</v>
      </c>
      <c r="D339" s="409">
        <v>1</v>
      </c>
      <c r="E339" s="401" t="s">
        <v>819</v>
      </c>
      <c r="F339" s="411"/>
      <c r="G339" s="433">
        <f t="shared" ref="G339" si="24">D339*F339</f>
        <v>0</v>
      </c>
    </row>
    <row r="340" spans="1:7" s="160" customFormat="1" x14ac:dyDescent="0.35">
      <c r="A340" s="398"/>
      <c r="B340" s="399"/>
      <c r="C340" s="400"/>
      <c r="D340" s="409"/>
      <c r="E340" s="401"/>
      <c r="F340" s="411"/>
      <c r="G340" s="402">
        <f t="shared" ref="G340:G344" si="25">ROUND(D340*F340,2)</f>
        <v>0</v>
      </c>
    </row>
    <row r="341" spans="1:7" s="160" customFormat="1" x14ac:dyDescent="0.35">
      <c r="A341" s="398"/>
      <c r="B341" s="399"/>
      <c r="C341" s="400"/>
      <c r="D341" s="409"/>
      <c r="E341" s="401"/>
      <c r="F341" s="411"/>
      <c r="G341" s="402">
        <f t="shared" si="25"/>
        <v>0</v>
      </c>
    </row>
    <row r="342" spans="1:7" s="160" customFormat="1" x14ac:dyDescent="0.35">
      <c r="A342" s="398"/>
      <c r="B342" s="399"/>
      <c r="C342" s="400"/>
      <c r="D342" s="409"/>
      <c r="E342" s="401"/>
      <c r="F342" s="411"/>
      <c r="G342" s="402">
        <f t="shared" si="25"/>
        <v>0</v>
      </c>
    </row>
    <row r="343" spans="1:7" s="160" customFormat="1" x14ac:dyDescent="0.35">
      <c r="A343" s="398"/>
      <c r="B343" s="399"/>
      <c r="C343" s="400"/>
      <c r="D343" s="409"/>
      <c r="E343" s="401"/>
      <c r="F343" s="411"/>
      <c r="G343" s="402">
        <f t="shared" si="25"/>
        <v>0</v>
      </c>
    </row>
    <row r="344" spans="1:7" s="160" customFormat="1" x14ac:dyDescent="0.35">
      <c r="A344" s="398"/>
      <c r="B344" s="399"/>
      <c r="C344" s="400"/>
      <c r="D344" s="409"/>
      <c r="E344" s="401"/>
      <c r="F344" s="411"/>
      <c r="G344" s="402">
        <f t="shared" si="25"/>
        <v>0</v>
      </c>
    </row>
    <row r="345" spans="1:7" s="160" customFormat="1" ht="69.75" x14ac:dyDescent="0.35">
      <c r="A345" s="398"/>
      <c r="B345" s="399"/>
      <c r="C345" s="400" t="s">
        <v>818</v>
      </c>
      <c r="D345" s="409">
        <v>1</v>
      </c>
      <c r="E345" s="401" t="s">
        <v>756</v>
      </c>
      <c r="F345" s="411"/>
      <c r="G345" s="402">
        <f t="shared" ref="G345" si="26">D345*F345</f>
        <v>0</v>
      </c>
    </row>
    <row r="346" spans="1:7" s="160" customFormat="1" x14ac:dyDescent="0.35">
      <c r="A346" s="398"/>
      <c r="B346" s="399"/>
      <c r="C346" s="400"/>
      <c r="D346" s="409"/>
      <c r="E346" s="401"/>
      <c r="F346" s="411"/>
      <c r="G346" s="402">
        <f t="shared" si="22"/>
        <v>0</v>
      </c>
    </row>
    <row r="347" spans="1:7" s="160" customFormat="1" x14ac:dyDescent="0.35">
      <c r="A347" s="398"/>
      <c r="B347" s="399"/>
      <c r="C347" s="400"/>
      <c r="D347" s="409"/>
      <c r="E347" s="401"/>
      <c r="F347" s="411"/>
      <c r="G347" s="402">
        <f t="shared" ref="G347" si="27">D347*F347</f>
        <v>0</v>
      </c>
    </row>
    <row r="348" spans="1:7" s="160" customFormat="1" x14ac:dyDescent="0.35">
      <c r="A348" s="398"/>
      <c r="B348" s="399"/>
      <c r="C348" s="400"/>
      <c r="D348" s="409"/>
      <c r="E348" s="401"/>
      <c r="F348" s="411"/>
      <c r="G348" s="402">
        <f t="shared" si="22"/>
        <v>0</v>
      </c>
    </row>
    <row r="349" spans="1:7" s="160" customFormat="1" x14ac:dyDescent="0.35">
      <c r="A349" s="398"/>
      <c r="B349" s="399"/>
      <c r="C349" s="400"/>
      <c r="D349" s="409"/>
      <c r="E349" s="401"/>
      <c r="F349" s="411"/>
      <c r="G349" s="402">
        <f t="shared" ref="G349" si="28">D349*F349</f>
        <v>0</v>
      </c>
    </row>
    <row r="350" spans="1:7" s="160" customFormat="1" x14ac:dyDescent="0.35">
      <c r="A350" s="398"/>
      <c r="B350" s="399"/>
      <c r="C350" s="400"/>
      <c r="D350" s="409"/>
      <c r="E350" s="401"/>
      <c r="F350" s="411"/>
      <c r="G350" s="402">
        <f t="shared" si="22"/>
        <v>0</v>
      </c>
    </row>
    <row r="351" spans="1:7" s="160" customFormat="1" x14ac:dyDescent="0.35">
      <c r="A351" s="398"/>
      <c r="B351" s="399"/>
      <c r="C351" s="400"/>
      <c r="D351" s="409"/>
      <c r="E351" s="401"/>
      <c r="F351" s="411"/>
      <c r="G351" s="402">
        <f t="shared" ref="G351" si="29">D351*F351</f>
        <v>0</v>
      </c>
    </row>
    <row r="352" spans="1:7" s="160" customFormat="1" x14ac:dyDescent="0.35">
      <c r="A352" s="398"/>
      <c r="B352" s="399"/>
      <c r="C352" s="400"/>
      <c r="D352" s="409"/>
      <c r="E352" s="401"/>
      <c r="F352" s="411"/>
      <c r="G352" s="402">
        <f t="shared" si="22"/>
        <v>0</v>
      </c>
    </row>
    <row r="353" spans="1:7" s="160" customFormat="1" x14ac:dyDescent="0.35">
      <c r="A353" s="398"/>
      <c r="B353" s="399"/>
      <c r="C353" s="400"/>
      <c r="D353" s="409"/>
      <c r="E353" s="401"/>
      <c r="F353" s="411"/>
      <c r="G353" s="402">
        <f t="shared" si="22"/>
        <v>0</v>
      </c>
    </row>
    <row r="354" spans="1:7" s="160" customFormat="1" x14ac:dyDescent="0.35">
      <c r="A354" s="398"/>
      <c r="B354" s="399"/>
      <c r="C354" s="400"/>
      <c r="D354" s="409"/>
      <c r="E354" s="401"/>
      <c r="F354" s="411"/>
      <c r="G354" s="402">
        <f t="shared" si="22"/>
        <v>0</v>
      </c>
    </row>
    <row r="355" spans="1:7" s="160" customFormat="1" x14ac:dyDescent="0.35">
      <c r="A355" s="398"/>
      <c r="B355" s="399"/>
      <c r="C355" s="400"/>
      <c r="D355" s="409"/>
      <c r="E355" s="401"/>
      <c r="F355" s="411"/>
      <c r="G355" s="402">
        <f t="shared" si="22"/>
        <v>0</v>
      </c>
    </row>
    <row r="356" spans="1:7" s="160" customFormat="1" x14ac:dyDescent="0.35">
      <c r="A356" s="398"/>
      <c r="B356" s="399"/>
      <c r="C356" s="400"/>
      <c r="D356" s="409"/>
      <c r="E356" s="401"/>
      <c r="F356" s="411"/>
      <c r="G356" s="402">
        <f t="shared" si="22"/>
        <v>0</v>
      </c>
    </row>
    <row r="357" spans="1:7" s="160" customFormat="1" x14ac:dyDescent="0.35">
      <c r="A357" s="398"/>
      <c r="B357" s="399"/>
      <c r="C357" s="400"/>
      <c r="D357" s="409"/>
      <c r="E357" s="401"/>
      <c r="F357" s="411"/>
      <c r="G357" s="402">
        <f t="shared" si="22"/>
        <v>0</v>
      </c>
    </row>
    <row r="358" spans="1:7" s="160" customFormat="1" x14ac:dyDescent="0.35">
      <c r="A358" s="398"/>
      <c r="B358" s="399"/>
      <c r="C358" s="400"/>
      <c r="D358" s="409"/>
      <c r="E358" s="401"/>
      <c r="F358" s="411"/>
      <c r="G358" s="402">
        <f t="shared" si="22"/>
        <v>0</v>
      </c>
    </row>
    <row r="359" spans="1:7" s="160" customFormat="1" x14ac:dyDescent="0.35">
      <c r="A359" s="398"/>
      <c r="B359" s="399"/>
      <c r="C359" s="400"/>
      <c r="D359" s="409"/>
      <c r="E359" s="401"/>
      <c r="F359" s="411"/>
      <c r="G359" s="402">
        <f t="shared" si="22"/>
        <v>0</v>
      </c>
    </row>
    <row r="360" spans="1:7" s="160" customFormat="1" x14ac:dyDescent="0.35">
      <c r="A360" s="398"/>
      <c r="B360" s="399"/>
      <c r="C360" s="400"/>
      <c r="D360" s="409"/>
      <c r="E360" s="401"/>
      <c r="F360" s="411"/>
      <c r="G360" s="402">
        <f t="shared" si="22"/>
        <v>0</v>
      </c>
    </row>
    <row r="361" spans="1:7" s="160" customFormat="1" x14ac:dyDescent="0.35">
      <c r="A361" s="398"/>
      <c r="B361" s="399"/>
      <c r="C361" s="400"/>
      <c r="D361" s="409"/>
      <c r="E361" s="401"/>
      <c r="F361" s="411"/>
      <c r="G361" s="402">
        <f t="shared" si="22"/>
        <v>0</v>
      </c>
    </row>
    <row r="362" spans="1:7" s="160" customFormat="1" x14ac:dyDescent="0.35">
      <c r="A362" s="398"/>
      <c r="B362" s="399"/>
      <c r="C362" s="400"/>
      <c r="D362" s="409"/>
      <c r="E362" s="401"/>
      <c r="F362" s="411"/>
      <c r="G362" s="402">
        <f t="shared" si="22"/>
        <v>0</v>
      </c>
    </row>
    <row r="363" spans="1:7" s="160" customFormat="1" x14ac:dyDescent="0.35">
      <c r="A363" s="398"/>
      <c r="B363" s="399"/>
      <c r="C363" s="400"/>
      <c r="D363" s="409"/>
      <c r="E363" s="401"/>
      <c r="F363" s="411"/>
      <c r="G363" s="402">
        <f t="shared" si="22"/>
        <v>0</v>
      </c>
    </row>
    <row r="364" spans="1:7" s="160" customFormat="1" x14ac:dyDescent="0.35">
      <c r="A364" s="398"/>
      <c r="B364" s="399"/>
      <c r="C364" s="400"/>
      <c r="D364" s="409"/>
      <c r="E364" s="401"/>
      <c r="F364" s="411"/>
      <c r="G364" s="402">
        <f t="shared" si="22"/>
        <v>0</v>
      </c>
    </row>
    <row r="365" spans="1:7" s="160" customFormat="1" x14ac:dyDescent="0.35">
      <c r="A365" s="398"/>
      <c r="B365" s="399"/>
      <c r="C365" s="400"/>
      <c r="D365" s="409"/>
      <c r="E365" s="401"/>
      <c r="F365" s="411"/>
      <c r="G365" s="402">
        <f t="shared" si="22"/>
        <v>0</v>
      </c>
    </row>
    <row r="366" spans="1:7" s="160" customFormat="1" x14ac:dyDescent="0.35">
      <c r="A366" s="398"/>
      <c r="B366" s="399"/>
      <c r="C366" s="400"/>
      <c r="D366" s="409"/>
      <c r="E366" s="401"/>
      <c r="F366" s="411"/>
      <c r="G366" s="402">
        <f t="shared" si="22"/>
        <v>0</v>
      </c>
    </row>
    <row r="367" spans="1:7" s="160" customFormat="1" x14ac:dyDescent="0.35">
      <c r="A367" s="398"/>
      <c r="B367" s="399"/>
      <c r="C367" s="400"/>
      <c r="D367" s="409"/>
      <c r="E367" s="401"/>
      <c r="F367" s="411"/>
      <c r="G367" s="402">
        <f t="shared" si="22"/>
        <v>0</v>
      </c>
    </row>
    <row r="368" spans="1:7" s="160" customFormat="1" x14ac:dyDescent="0.35">
      <c r="A368" s="398"/>
      <c r="B368" s="399"/>
      <c r="C368" s="400"/>
      <c r="D368" s="409"/>
      <c r="E368" s="401"/>
      <c r="F368" s="411"/>
      <c r="G368" s="402">
        <f t="shared" si="22"/>
        <v>0</v>
      </c>
    </row>
    <row r="369" spans="1:7" s="160" customFormat="1" x14ac:dyDescent="0.35">
      <c r="A369" s="398"/>
      <c r="B369" s="399"/>
      <c r="C369" s="400"/>
      <c r="D369" s="409"/>
      <c r="E369" s="401"/>
      <c r="F369" s="411"/>
      <c r="G369" s="402"/>
    </row>
    <row r="370" spans="1:7" s="160" customFormat="1" ht="24" thickBot="1" x14ac:dyDescent="0.4">
      <c r="A370" s="398"/>
      <c r="B370" s="399"/>
      <c r="C370" s="400"/>
      <c r="D370" s="409"/>
      <c r="E370" s="401"/>
      <c r="F370" s="411"/>
      <c r="G370" s="402">
        <f t="shared" si="22"/>
        <v>0</v>
      </c>
    </row>
    <row r="371" spans="1:7" s="160" customFormat="1" ht="24" thickBot="1" x14ac:dyDescent="0.4">
      <c r="A371" s="398"/>
      <c r="B371" s="399"/>
      <c r="C371" s="404" t="s">
        <v>760</v>
      </c>
      <c r="D371" s="409"/>
      <c r="E371" s="401"/>
      <c r="F371" s="411"/>
      <c r="G371" s="405">
        <f>SUM(G336:G370)</f>
        <v>0</v>
      </c>
    </row>
    <row r="372" spans="1:7" s="160" customFormat="1" x14ac:dyDescent="0.35">
      <c r="A372" s="398"/>
      <c r="B372" s="399"/>
      <c r="C372" s="400"/>
      <c r="D372" s="409"/>
      <c r="E372" s="401"/>
      <c r="F372" s="411"/>
      <c r="G372" s="402">
        <f t="shared" si="22"/>
        <v>0</v>
      </c>
    </row>
    <row r="373" spans="1:7" s="160" customFormat="1" x14ac:dyDescent="0.35">
      <c r="A373" s="398"/>
      <c r="B373" s="399"/>
      <c r="C373" s="400"/>
      <c r="D373" s="409"/>
      <c r="E373" s="401"/>
      <c r="F373" s="411"/>
      <c r="G373" s="402">
        <f t="shared" si="22"/>
        <v>0</v>
      </c>
    </row>
    <row r="374" spans="1:7" s="160" customFormat="1" x14ac:dyDescent="0.35">
      <c r="A374" s="398"/>
      <c r="B374" s="399"/>
      <c r="C374" s="400"/>
      <c r="D374" s="409"/>
      <c r="E374" s="401"/>
      <c r="F374" s="411"/>
      <c r="G374" s="402">
        <f t="shared" si="22"/>
        <v>0</v>
      </c>
    </row>
    <row r="375" spans="1:7" s="160" customFormat="1" x14ac:dyDescent="0.35">
      <c r="A375" s="398"/>
      <c r="B375" s="399"/>
      <c r="C375" s="400"/>
      <c r="D375" s="409"/>
      <c r="E375" s="401"/>
      <c r="F375" s="411"/>
      <c r="G375" s="402">
        <f t="shared" si="22"/>
        <v>0</v>
      </c>
    </row>
    <row r="376" spans="1:7" s="160" customFormat="1" x14ac:dyDescent="0.35">
      <c r="A376" s="398"/>
      <c r="B376" s="399"/>
      <c r="C376" s="400"/>
      <c r="D376" s="409"/>
      <c r="E376" s="401"/>
      <c r="F376" s="411"/>
      <c r="G376" s="402">
        <f t="shared" si="22"/>
        <v>0</v>
      </c>
    </row>
    <row r="377" spans="1:7" s="160" customFormat="1" x14ac:dyDescent="0.35">
      <c r="A377" s="398"/>
      <c r="B377" s="399"/>
      <c r="C377" s="400"/>
      <c r="D377" s="409"/>
      <c r="E377" s="401"/>
      <c r="F377" s="411"/>
      <c r="G377" s="402">
        <f t="shared" si="22"/>
        <v>0</v>
      </c>
    </row>
    <row r="378" spans="1:7" s="160" customFormat="1" ht="24" thickBot="1" x14ac:dyDescent="0.4">
      <c r="A378" s="398"/>
      <c r="B378" s="399"/>
      <c r="C378" s="400"/>
      <c r="D378" s="409"/>
      <c r="E378" s="401"/>
      <c r="F378" s="411"/>
      <c r="G378" s="402">
        <f t="shared" si="22"/>
        <v>0</v>
      </c>
    </row>
    <row r="379" spans="1:7" ht="18.75" customHeight="1" x14ac:dyDescent="0.35">
      <c r="A379" s="383"/>
      <c r="B379" s="384"/>
      <c r="C379" s="385"/>
      <c r="D379" s="386"/>
      <c r="E379" s="387"/>
      <c r="F379" s="410"/>
      <c r="G379" s="387"/>
    </row>
    <row r="380" spans="1:7" s="160" customFormat="1" x14ac:dyDescent="0.35">
      <c r="A380" s="388"/>
      <c r="B380" s="389"/>
      <c r="C380" s="390"/>
      <c r="D380" s="391"/>
      <c r="E380" s="391"/>
      <c r="F380" s="393" t="s">
        <v>2</v>
      </c>
      <c r="G380" s="393"/>
    </row>
    <row r="381" spans="1:7" s="160" customFormat="1" ht="24" thickBot="1" x14ac:dyDescent="0.4">
      <c r="A381" s="394"/>
      <c r="B381" s="395"/>
      <c r="C381" s="396" t="s">
        <v>753</v>
      </c>
      <c r="D381" s="397" t="s">
        <v>3</v>
      </c>
      <c r="E381" s="397" t="s">
        <v>1</v>
      </c>
      <c r="F381" s="397" t="s">
        <v>4</v>
      </c>
      <c r="G381" s="397" t="s">
        <v>5</v>
      </c>
    </row>
    <row r="382" spans="1:7" s="160" customFormat="1" ht="18" customHeight="1" x14ac:dyDescent="0.35">
      <c r="A382" s="398"/>
      <c r="B382" s="399"/>
      <c r="C382" s="400"/>
      <c r="D382" s="409"/>
      <c r="E382" s="401"/>
      <c r="F382" s="411"/>
      <c r="G382" s="402">
        <f t="shared" ref="G382:G383" si="30">ROUND(D382*F382,2)</f>
        <v>0</v>
      </c>
    </row>
    <row r="383" spans="1:7" s="160" customFormat="1" ht="46.5" x14ac:dyDescent="0.35">
      <c r="A383" s="398"/>
      <c r="B383" s="399"/>
      <c r="C383" s="412" t="s">
        <v>885</v>
      </c>
      <c r="D383" s="409"/>
      <c r="E383" s="401"/>
      <c r="F383" s="411"/>
      <c r="G383" s="402">
        <f t="shared" si="30"/>
        <v>0</v>
      </c>
    </row>
    <row r="384" spans="1:7" s="160" customFormat="1" x14ac:dyDescent="0.35">
      <c r="A384" s="398"/>
      <c r="B384" s="399"/>
      <c r="C384" s="400"/>
      <c r="D384" s="409"/>
      <c r="E384" s="401"/>
      <c r="F384" s="411"/>
      <c r="G384" s="402">
        <f t="shared" si="22"/>
        <v>0</v>
      </c>
    </row>
    <row r="385" spans="1:7" s="160" customFormat="1" ht="93" x14ac:dyDescent="0.35">
      <c r="A385" s="398"/>
      <c r="B385" s="399"/>
      <c r="C385" s="400" t="s">
        <v>829</v>
      </c>
      <c r="D385" s="409">
        <v>54</v>
      </c>
      <c r="E385" s="401" t="s">
        <v>772</v>
      </c>
      <c r="F385" s="411"/>
      <c r="G385" s="402">
        <f t="shared" ref="G385:G403" si="31">D385*F385</f>
        <v>0</v>
      </c>
    </row>
    <row r="386" spans="1:7" s="160" customFormat="1" x14ac:dyDescent="0.35">
      <c r="A386" s="398"/>
      <c r="B386" s="399"/>
      <c r="C386" s="400"/>
      <c r="D386" s="409"/>
      <c r="E386" s="401"/>
      <c r="F386" s="411"/>
      <c r="G386" s="402">
        <f t="shared" si="31"/>
        <v>0</v>
      </c>
    </row>
    <row r="387" spans="1:7" s="160" customFormat="1" ht="116.25" x14ac:dyDescent="0.35">
      <c r="A387" s="398"/>
      <c r="B387" s="399"/>
      <c r="C387" s="400" t="s">
        <v>831</v>
      </c>
      <c r="D387" s="409">
        <v>282</v>
      </c>
      <c r="E387" s="401" t="s">
        <v>772</v>
      </c>
      <c r="F387" s="411"/>
      <c r="G387" s="402">
        <f t="shared" si="31"/>
        <v>0</v>
      </c>
    </row>
    <row r="388" spans="1:7" s="160" customFormat="1" x14ac:dyDescent="0.35">
      <c r="A388" s="398"/>
      <c r="B388" s="399"/>
      <c r="C388" s="400"/>
      <c r="D388" s="409"/>
      <c r="E388" s="401"/>
      <c r="F388" s="411"/>
      <c r="G388" s="402">
        <f t="shared" si="31"/>
        <v>0</v>
      </c>
    </row>
    <row r="389" spans="1:7" s="160" customFormat="1" ht="93" x14ac:dyDescent="0.35">
      <c r="A389" s="398"/>
      <c r="B389" s="399"/>
      <c r="C389" s="400" t="s">
        <v>828</v>
      </c>
      <c r="D389" s="409">
        <v>20</v>
      </c>
      <c r="E389" s="401" t="s">
        <v>26</v>
      </c>
      <c r="F389" s="411"/>
      <c r="G389" s="402">
        <f t="shared" si="31"/>
        <v>0</v>
      </c>
    </row>
    <row r="390" spans="1:7" s="160" customFormat="1" x14ac:dyDescent="0.35">
      <c r="A390" s="398"/>
      <c r="B390" s="399"/>
      <c r="C390" s="400"/>
      <c r="D390" s="409"/>
      <c r="E390" s="401"/>
      <c r="F390" s="411"/>
      <c r="G390" s="402">
        <f t="shared" si="31"/>
        <v>0</v>
      </c>
    </row>
    <row r="391" spans="1:7" s="160" customFormat="1" ht="69.75" x14ac:dyDescent="0.35">
      <c r="A391" s="398"/>
      <c r="B391" s="399"/>
      <c r="C391" s="400" t="s">
        <v>827</v>
      </c>
      <c r="D391" s="409">
        <v>164</v>
      </c>
      <c r="E391" s="401" t="s">
        <v>26</v>
      </c>
      <c r="F391" s="411"/>
      <c r="G391" s="402">
        <f t="shared" si="31"/>
        <v>0</v>
      </c>
    </row>
    <row r="392" spans="1:7" s="160" customFormat="1" x14ac:dyDescent="0.35">
      <c r="A392" s="398"/>
      <c r="B392" s="399"/>
      <c r="C392" s="400"/>
      <c r="D392" s="409"/>
      <c r="E392" s="401"/>
      <c r="F392" s="411"/>
      <c r="G392" s="402">
        <f t="shared" si="31"/>
        <v>0</v>
      </c>
    </row>
    <row r="393" spans="1:7" s="160" customFormat="1" x14ac:dyDescent="0.35">
      <c r="A393" s="398"/>
      <c r="B393" s="399"/>
      <c r="C393" s="400" t="s">
        <v>826</v>
      </c>
      <c r="D393" s="409">
        <v>12</v>
      </c>
      <c r="E393" s="401" t="s">
        <v>761</v>
      </c>
      <c r="F393" s="411"/>
      <c r="G393" s="402">
        <f t="shared" si="31"/>
        <v>0</v>
      </c>
    </row>
    <row r="394" spans="1:7" s="160" customFormat="1" x14ac:dyDescent="0.35">
      <c r="A394" s="398"/>
      <c r="B394" s="399"/>
      <c r="C394" s="400"/>
      <c r="D394" s="409"/>
      <c r="E394" s="401"/>
      <c r="F394" s="411"/>
      <c r="G394" s="402">
        <f t="shared" si="31"/>
        <v>0</v>
      </c>
    </row>
    <row r="395" spans="1:7" s="160" customFormat="1" ht="46.5" x14ac:dyDescent="0.35">
      <c r="A395" s="398"/>
      <c r="B395" s="399"/>
      <c r="C395" s="400" t="s">
        <v>846</v>
      </c>
      <c r="D395" s="409">
        <v>42</v>
      </c>
      <c r="E395" s="401" t="s">
        <v>777</v>
      </c>
      <c r="F395" s="411"/>
      <c r="G395" s="402">
        <f t="shared" si="31"/>
        <v>0</v>
      </c>
    </row>
    <row r="396" spans="1:7" s="160" customFormat="1" x14ac:dyDescent="0.35">
      <c r="A396" s="398"/>
      <c r="B396" s="399"/>
      <c r="C396" s="400"/>
      <c r="D396" s="409"/>
      <c r="E396" s="401"/>
      <c r="F396" s="411"/>
      <c r="G396" s="402">
        <f t="shared" si="31"/>
        <v>0</v>
      </c>
    </row>
    <row r="397" spans="1:7" s="160" customFormat="1" ht="46.5" x14ac:dyDescent="0.35">
      <c r="A397" s="398"/>
      <c r="B397" s="399"/>
      <c r="C397" s="400" t="s">
        <v>847</v>
      </c>
      <c r="D397" s="409">
        <v>6</v>
      </c>
      <c r="E397" s="401" t="s">
        <v>824</v>
      </c>
      <c r="F397" s="411"/>
      <c r="G397" s="402">
        <f t="shared" si="31"/>
        <v>0</v>
      </c>
    </row>
    <row r="398" spans="1:7" s="160" customFormat="1" x14ac:dyDescent="0.35">
      <c r="A398" s="398"/>
      <c r="B398" s="399"/>
      <c r="C398" s="400"/>
      <c r="D398" s="409"/>
      <c r="E398" s="401"/>
      <c r="F398" s="411"/>
      <c r="G398" s="402">
        <f t="shared" si="31"/>
        <v>0</v>
      </c>
    </row>
    <row r="399" spans="1:7" s="160" customFormat="1" ht="93" x14ac:dyDescent="0.35">
      <c r="A399" s="398"/>
      <c r="B399" s="399"/>
      <c r="C399" s="400" t="s">
        <v>888</v>
      </c>
      <c r="D399" s="409">
        <v>44</v>
      </c>
      <c r="E399" s="401" t="s">
        <v>26</v>
      </c>
      <c r="F399" s="411"/>
      <c r="G399" s="402">
        <f t="shared" si="31"/>
        <v>0</v>
      </c>
    </row>
    <row r="400" spans="1:7" s="160" customFormat="1" x14ac:dyDescent="0.35">
      <c r="A400" s="398"/>
      <c r="B400" s="399"/>
      <c r="C400" s="400"/>
      <c r="D400" s="409"/>
      <c r="E400" s="401"/>
      <c r="F400" s="411"/>
      <c r="G400" s="402">
        <f t="shared" si="31"/>
        <v>0</v>
      </c>
    </row>
    <row r="401" spans="1:7" s="160" customFormat="1" ht="46.5" x14ac:dyDescent="0.35">
      <c r="A401" s="398"/>
      <c r="B401" s="399"/>
      <c r="C401" s="400" t="s">
        <v>889</v>
      </c>
      <c r="D401" s="409">
        <v>6</v>
      </c>
      <c r="E401" s="401" t="s">
        <v>761</v>
      </c>
      <c r="F401" s="411"/>
      <c r="G401" s="402">
        <f t="shared" si="31"/>
        <v>0</v>
      </c>
    </row>
    <row r="402" spans="1:7" s="160" customFormat="1" x14ac:dyDescent="0.35">
      <c r="A402" s="398"/>
      <c r="B402" s="399"/>
      <c r="C402" s="400"/>
      <c r="D402" s="409"/>
      <c r="E402" s="401"/>
      <c r="F402" s="411"/>
      <c r="G402" s="402">
        <f t="shared" si="31"/>
        <v>0</v>
      </c>
    </row>
    <row r="403" spans="1:7" s="160" customFormat="1" ht="46.5" x14ac:dyDescent="0.35">
      <c r="A403" s="398"/>
      <c r="B403" s="399"/>
      <c r="C403" s="400" t="s">
        <v>886</v>
      </c>
      <c r="D403" s="409">
        <v>36</v>
      </c>
      <c r="E403" s="401" t="s">
        <v>26</v>
      </c>
      <c r="F403" s="411"/>
      <c r="G403" s="402">
        <f t="shared" si="31"/>
        <v>0</v>
      </c>
    </row>
    <row r="404" spans="1:7" s="160" customFormat="1" x14ac:dyDescent="0.35">
      <c r="A404" s="398"/>
      <c r="B404" s="399"/>
      <c r="C404" s="400"/>
      <c r="D404" s="409"/>
      <c r="E404" s="401"/>
      <c r="F404" s="411"/>
      <c r="G404" s="402">
        <f t="shared" ref="G404:G410" si="32">ROUND(D404*F404,2)</f>
        <v>0</v>
      </c>
    </row>
    <row r="405" spans="1:7" s="160" customFormat="1" ht="46.5" x14ac:dyDescent="0.35">
      <c r="A405" s="398"/>
      <c r="B405" s="399"/>
      <c r="C405" s="400" t="s">
        <v>887</v>
      </c>
      <c r="D405" s="409">
        <v>36</v>
      </c>
      <c r="E405" s="401" t="s">
        <v>26</v>
      </c>
      <c r="F405" s="411"/>
      <c r="G405" s="402">
        <f t="shared" si="32"/>
        <v>0</v>
      </c>
    </row>
    <row r="406" spans="1:7" s="160" customFormat="1" x14ac:dyDescent="0.35">
      <c r="A406" s="398"/>
      <c r="B406" s="399"/>
      <c r="C406" s="400"/>
      <c r="D406" s="409"/>
      <c r="E406" s="401"/>
      <c r="F406" s="411"/>
      <c r="G406" s="402">
        <f t="shared" si="32"/>
        <v>0</v>
      </c>
    </row>
    <row r="407" spans="1:7" s="160" customFormat="1" x14ac:dyDescent="0.35">
      <c r="A407" s="398"/>
      <c r="B407" s="399"/>
      <c r="C407" s="400" t="s">
        <v>830</v>
      </c>
      <c r="D407" s="409">
        <v>1</v>
      </c>
      <c r="E407" s="401" t="s">
        <v>819</v>
      </c>
      <c r="F407" s="411"/>
      <c r="G407" s="402">
        <f t="shared" si="32"/>
        <v>0</v>
      </c>
    </row>
    <row r="408" spans="1:7" s="160" customFormat="1" ht="24" thickBot="1" x14ac:dyDescent="0.4">
      <c r="A408" s="398"/>
      <c r="B408" s="399"/>
      <c r="C408" s="400"/>
      <c r="D408" s="409"/>
      <c r="E408" s="401"/>
      <c r="F408" s="411"/>
      <c r="G408" s="402">
        <f t="shared" si="32"/>
        <v>0</v>
      </c>
    </row>
    <row r="409" spans="1:7" s="160" customFormat="1" ht="24" thickBot="1" x14ac:dyDescent="0.4">
      <c r="A409" s="398"/>
      <c r="B409" s="399"/>
      <c r="C409" s="404" t="s">
        <v>760</v>
      </c>
      <c r="D409" s="409"/>
      <c r="E409" s="401"/>
      <c r="F409" s="411"/>
      <c r="G409" s="405">
        <f>SUM(G384:G408)</f>
        <v>0</v>
      </c>
    </row>
    <row r="410" spans="1:7" s="160" customFormat="1" ht="24" thickBot="1" x14ac:dyDescent="0.4">
      <c r="A410" s="398"/>
      <c r="B410" s="399"/>
      <c r="C410" s="400"/>
      <c r="D410" s="409"/>
      <c r="E410" s="401"/>
      <c r="F410" s="411"/>
      <c r="G410" s="402">
        <f t="shared" si="32"/>
        <v>0</v>
      </c>
    </row>
    <row r="411" spans="1:7" ht="18.75" customHeight="1" x14ac:dyDescent="0.35">
      <c r="A411" s="383"/>
      <c r="B411" s="384"/>
      <c r="C411" s="385"/>
      <c r="D411" s="386"/>
      <c r="E411" s="387"/>
      <c r="F411" s="410"/>
      <c r="G411" s="387"/>
    </row>
    <row r="412" spans="1:7" s="160" customFormat="1" x14ac:dyDescent="0.35">
      <c r="A412" s="388"/>
      <c r="B412" s="389"/>
      <c r="C412" s="390"/>
      <c r="D412" s="391"/>
      <c r="E412" s="391"/>
      <c r="F412" s="393" t="s">
        <v>2</v>
      </c>
      <c r="G412" s="393"/>
    </row>
    <row r="413" spans="1:7" s="160" customFormat="1" ht="24" thickBot="1" x14ac:dyDescent="0.4">
      <c r="A413" s="394"/>
      <c r="B413" s="395"/>
      <c r="C413" s="396" t="s">
        <v>753</v>
      </c>
      <c r="D413" s="397" t="s">
        <v>3</v>
      </c>
      <c r="E413" s="397" t="s">
        <v>1</v>
      </c>
      <c r="F413" s="397" t="s">
        <v>4</v>
      </c>
      <c r="G413" s="397" t="s">
        <v>5</v>
      </c>
    </row>
    <row r="414" spans="1:7" s="160" customFormat="1" ht="18" customHeight="1" x14ac:dyDescent="0.35">
      <c r="A414" s="398"/>
      <c r="B414" s="399"/>
      <c r="C414" s="400"/>
      <c r="D414" s="409"/>
      <c r="E414" s="401"/>
      <c r="F414" s="411"/>
      <c r="G414" s="402">
        <f t="shared" ref="G414:G440" si="33">ROUND(D414*F414,2)</f>
        <v>0</v>
      </c>
    </row>
    <row r="415" spans="1:7" s="160" customFormat="1" x14ac:dyDescent="0.35">
      <c r="A415" s="398"/>
      <c r="B415" s="399"/>
      <c r="C415" s="412" t="s">
        <v>835</v>
      </c>
      <c r="D415" s="409"/>
      <c r="E415" s="401"/>
      <c r="F415" s="411"/>
      <c r="G415" s="402">
        <f t="shared" si="33"/>
        <v>0</v>
      </c>
    </row>
    <row r="416" spans="1:7" s="160" customFormat="1" x14ac:dyDescent="0.35">
      <c r="A416" s="398"/>
      <c r="B416" s="399"/>
      <c r="C416" s="400"/>
      <c r="D416" s="409"/>
      <c r="E416" s="401"/>
      <c r="F416" s="411"/>
      <c r="G416" s="402">
        <f t="shared" si="33"/>
        <v>0</v>
      </c>
    </row>
    <row r="417" spans="1:7" s="160" customFormat="1" ht="46.5" x14ac:dyDescent="0.35">
      <c r="A417" s="398"/>
      <c r="B417" s="399"/>
      <c r="C417" s="400" t="s">
        <v>833</v>
      </c>
      <c r="D417" s="409">
        <v>130</v>
      </c>
      <c r="E417" s="401" t="s">
        <v>772</v>
      </c>
      <c r="F417" s="411"/>
      <c r="G417" s="402">
        <f t="shared" ref="G417:G432" si="34">D417*F417</f>
        <v>0</v>
      </c>
    </row>
    <row r="418" spans="1:7" s="160" customFormat="1" x14ac:dyDescent="0.35">
      <c r="A418" s="398"/>
      <c r="B418" s="399"/>
      <c r="C418" s="400"/>
      <c r="D418" s="409"/>
      <c r="E418" s="401"/>
      <c r="F418" s="411"/>
      <c r="G418" s="402">
        <f t="shared" si="34"/>
        <v>0</v>
      </c>
    </row>
    <row r="419" spans="1:7" s="160" customFormat="1" ht="46.5" x14ac:dyDescent="0.35">
      <c r="A419" s="398"/>
      <c r="B419" s="399"/>
      <c r="C419" s="400" t="s">
        <v>894</v>
      </c>
      <c r="D419" s="409">
        <v>130</v>
      </c>
      <c r="E419" s="401" t="s">
        <v>772</v>
      </c>
      <c r="F419" s="411"/>
      <c r="G419" s="402">
        <f t="shared" si="34"/>
        <v>0</v>
      </c>
    </row>
    <row r="420" spans="1:7" s="160" customFormat="1" x14ac:dyDescent="0.35">
      <c r="A420" s="398"/>
      <c r="B420" s="399"/>
      <c r="C420" s="400"/>
      <c r="D420" s="409"/>
      <c r="E420" s="401"/>
      <c r="F420" s="411"/>
      <c r="G420" s="402">
        <f t="shared" si="34"/>
        <v>0</v>
      </c>
    </row>
    <row r="421" spans="1:7" s="160" customFormat="1" ht="69.75" x14ac:dyDescent="0.35">
      <c r="A421" s="398"/>
      <c r="B421" s="399"/>
      <c r="C421" s="400" t="s">
        <v>895</v>
      </c>
      <c r="D421" s="409">
        <v>94</v>
      </c>
      <c r="E421" s="401" t="s">
        <v>26</v>
      </c>
      <c r="F421" s="411"/>
      <c r="G421" s="402">
        <f t="shared" si="34"/>
        <v>0</v>
      </c>
    </row>
    <row r="422" spans="1:7" s="160" customFormat="1" x14ac:dyDescent="0.35">
      <c r="A422" s="398"/>
      <c r="B422" s="399"/>
      <c r="C422" s="400"/>
      <c r="D422" s="409"/>
      <c r="E422" s="401"/>
      <c r="F422" s="411"/>
      <c r="G422" s="402">
        <f t="shared" si="34"/>
        <v>0</v>
      </c>
    </row>
    <row r="423" spans="1:7" s="160" customFormat="1" ht="46.5" x14ac:dyDescent="0.35">
      <c r="A423" s="398"/>
      <c r="B423" s="399"/>
      <c r="C423" s="400" t="s">
        <v>896</v>
      </c>
      <c r="D423" s="409">
        <v>76</v>
      </c>
      <c r="E423" s="401" t="s">
        <v>772</v>
      </c>
      <c r="F423" s="411"/>
      <c r="G423" s="402">
        <f t="shared" si="34"/>
        <v>0</v>
      </c>
    </row>
    <row r="424" spans="1:7" s="160" customFormat="1" x14ac:dyDescent="0.35">
      <c r="A424" s="398"/>
      <c r="B424" s="399"/>
      <c r="C424" s="400"/>
      <c r="D424" s="409"/>
      <c r="E424" s="401"/>
      <c r="F424" s="411"/>
      <c r="G424" s="402">
        <f t="shared" si="34"/>
        <v>0</v>
      </c>
    </row>
    <row r="425" spans="1:7" s="160" customFormat="1" ht="119.25" x14ac:dyDescent="0.35">
      <c r="A425" s="398"/>
      <c r="B425" s="399"/>
      <c r="C425" s="400" t="s">
        <v>942</v>
      </c>
      <c r="D425" s="409">
        <v>568</v>
      </c>
      <c r="E425" s="401" t="s">
        <v>772</v>
      </c>
      <c r="F425" s="411"/>
      <c r="G425" s="402">
        <f t="shared" si="34"/>
        <v>0</v>
      </c>
    </row>
    <row r="426" spans="1:7" s="160" customFormat="1" x14ac:dyDescent="0.35">
      <c r="A426" s="398"/>
      <c r="B426" s="399"/>
      <c r="C426" s="400"/>
      <c r="D426" s="409"/>
      <c r="E426" s="401"/>
      <c r="F426" s="411"/>
      <c r="G426" s="402">
        <f t="shared" si="34"/>
        <v>0</v>
      </c>
    </row>
    <row r="427" spans="1:7" s="160" customFormat="1" ht="119.25" x14ac:dyDescent="0.35">
      <c r="A427" s="398"/>
      <c r="B427" s="399"/>
      <c r="C427" s="400" t="s">
        <v>943</v>
      </c>
      <c r="D427" s="409">
        <v>76</v>
      </c>
      <c r="E427" s="401" t="s">
        <v>772</v>
      </c>
      <c r="F427" s="411"/>
      <c r="G427" s="402">
        <f t="shared" si="34"/>
        <v>0</v>
      </c>
    </row>
    <row r="428" spans="1:7" s="160" customFormat="1" x14ac:dyDescent="0.35">
      <c r="A428" s="398"/>
      <c r="B428" s="399"/>
      <c r="C428" s="400"/>
      <c r="D428" s="409"/>
      <c r="E428" s="401"/>
      <c r="F428" s="411"/>
      <c r="G428" s="402">
        <f t="shared" si="34"/>
        <v>0</v>
      </c>
    </row>
    <row r="429" spans="1:7" s="160" customFormat="1" ht="119.25" x14ac:dyDescent="0.35">
      <c r="A429" s="398"/>
      <c r="B429" s="399"/>
      <c r="C429" s="400" t="s">
        <v>837</v>
      </c>
      <c r="D429" s="409">
        <v>420</v>
      </c>
      <c r="E429" s="401" t="s">
        <v>26</v>
      </c>
      <c r="F429" s="411"/>
      <c r="G429" s="402">
        <f t="shared" si="34"/>
        <v>0</v>
      </c>
    </row>
    <row r="430" spans="1:7" s="160" customFormat="1" x14ac:dyDescent="0.35">
      <c r="A430" s="398"/>
      <c r="B430" s="399"/>
      <c r="C430" s="400"/>
      <c r="D430" s="409"/>
      <c r="E430" s="401"/>
      <c r="F430" s="411"/>
      <c r="G430" s="402">
        <f t="shared" si="34"/>
        <v>0</v>
      </c>
    </row>
    <row r="431" spans="1:7" s="160" customFormat="1" ht="142.5" x14ac:dyDescent="0.35">
      <c r="A431" s="398"/>
      <c r="B431" s="399"/>
      <c r="C431" s="400" t="s">
        <v>944</v>
      </c>
      <c r="D431" s="409">
        <v>274</v>
      </c>
      <c r="E431" s="401" t="s">
        <v>772</v>
      </c>
      <c r="F431" s="411"/>
      <c r="G431" s="402">
        <f t="shared" si="34"/>
        <v>0</v>
      </c>
    </row>
    <row r="432" spans="1:7" s="160" customFormat="1" x14ac:dyDescent="0.35">
      <c r="A432" s="398"/>
      <c r="B432" s="399"/>
      <c r="C432" s="400"/>
      <c r="D432" s="409"/>
      <c r="E432" s="401"/>
      <c r="F432" s="411"/>
      <c r="G432" s="402">
        <f t="shared" si="34"/>
        <v>0</v>
      </c>
    </row>
    <row r="433" spans="1:7" s="160" customFormat="1" x14ac:dyDescent="0.35">
      <c r="A433" s="398"/>
      <c r="B433" s="399"/>
      <c r="C433" s="400"/>
      <c r="D433" s="409"/>
      <c r="E433" s="401"/>
      <c r="F433" s="411"/>
      <c r="G433" s="402">
        <f t="shared" si="33"/>
        <v>0</v>
      </c>
    </row>
    <row r="434" spans="1:7" s="160" customFormat="1" ht="24" thickBot="1" x14ac:dyDescent="0.4">
      <c r="A434" s="398"/>
      <c r="B434" s="399"/>
      <c r="C434" s="400"/>
      <c r="D434" s="409"/>
      <c r="E434" s="401"/>
      <c r="F434" s="411"/>
      <c r="G434" s="402"/>
    </row>
    <row r="435" spans="1:7" s="160" customFormat="1" ht="24" thickBot="1" x14ac:dyDescent="0.4">
      <c r="A435" s="398"/>
      <c r="B435" s="399"/>
      <c r="C435" s="404" t="s">
        <v>760</v>
      </c>
      <c r="D435" s="409"/>
      <c r="E435" s="401"/>
      <c r="F435" s="411"/>
      <c r="G435" s="405">
        <f>SUM(G416:G434)</f>
        <v>0</v>
      </c>
    </row>
    <row r="436" spans="1:7" s="160" customFormat="1" x14ac:dyDescent="0.35">
      <c r="A436" s="398"/>
      <c r="B436" s="399"/>
      <c r="C436" s="400"/>
      <c r="D436" s="409"/>
      <c r="E436" s="401"/>
      <c r="F436" s="411"/>
      <c r="G436" s="402"/>
    </row>
    <row r="437" spans="1:7" s="160" customFormat="1" x14ac:dyDescent="0.35">
      <c r="A437" s="398"/>
      <c r="B437" s="399"/>
      <c r="C437" s="400"/>
      <c r="D437" s="409"/>
      <c r="E437" s="401"/>
      <c r="F437" s="411"/>
      <c r="G437" s="402"/>
    </row>
    <row r="438" spans="1:7" s="160" customFormat="1" x14ac:dyDescent="0.35">
      <c r="A438" s="398"/>
      <c r="B438" s="399"/>
      <c r="C438" s="400"/>
      <c r="D438" s="409"/>
      <c r="E438" s="401"/>
      <c r="F438" s="411"/>
      <c r="G438" s="402"/>
    </row>
    <row r="439" spans="1:7" s="160" customFormat="1" x14ac:dyDescent="0.35">
      <c r="A439" s="398"/>
      <c r="B439" s="399"/>
      <c r="C439" s="400"/>
      <c r="D439" s="409"/>
      <c r="E439" s="401"/>
      <c r="F439" s="411"/>
      <c r="G439" s="402">
        <f t="shared" si="33"/>
        <v>0</v>
      </c>
    </row>
    <row r="440" spans="1:7" s="160" customFormat="1" ht="24" thickBot="1" x14ac:dyDescent="0.4">
      <c r="A440" s="398"/>
      <c r="B440" s="399"/>
      <c r="C440" s="400"/>
      <c r="D440" s="409"/>
      <c r="E440" s="401"/>
      <c r="F440" s="411"/>
      <c r="G440" s="402">
        <f t="shared" si="33"/>
        <v>0</v>
      </c>
    </row>
    <row r="441" spans="1:7" ht="18.75" customHeight="1" x14ac:dyDescent="0.35">
      <c r="A441" s="383"/>
      <c r="B441" s="384"/>
      <c r="C441" s="385"/>
      <c r="D441" s="386"/>
      <c r="E441" s="387"/>
      <c r="F441" s="410"/>
      <c r="G441" s="387"/>
    </row>
    <row r="442" spans="1:7" s="160" customFormat="1" x14ac:dyDescent="0.35">
      <c r="A442" s="388"/>
      <c r="B442" s="389"/>
      <c r="C442" s="390"/>
      <c r="D442" s="391"/>
      <c r="E442" s="391"/>
      <c r="F442" s="393" t="s">
        <v>2</v>
      </c>
      <c r="G442" s="393"/>
    </row>
    <row r="443" spans="1:7" s="160" customFormat="1" ht="24" thickBot="1" x14ac:dyDescent="0.4">
      <c r="A443" s="394"/>
      <c r="B443" s="395"/>
      <c r="C443" s="396" t="s">
        <v>753</v>
      </c>
      <c r="D443" s="397" t="s">
        <v>3</v>
      </c>
      <c r="E443" s="397" t="s">
        <v>1</v>
      </c>
      <c r="F443" s="397" t="s">
        <v>4</v>
      </c>
      <c r="G443" s="397" t="s">
        <v>5</v>
      </c>
    </row>
    <row r="444" spans="1:7" s="160" customFormat="1" ht="18" customHeight="1" x14ac:dyDescent="0.35">
      <c r="A444" s="398"/>
      <c r="B444" s="399"/>
      <c r="C444" s="400"/>
      <c r="D444" s="409"/>
      <c r="E444" s="401"/>
      <c r="F444" s="411"/>
      <c r="G444" s="402">
        <f t="shared" ref="G444:G445" si="35">ROUND(D444*F444,2)</f>
        <v>0</v>
      </c>
    </row>
    <row r="445" spans="1:7" s="160" customFormat="1" x14ac:dyDescent="0.35">
      <c r="A445" s="398"/>
      <c r="B445" s="399"/>
      <c r="C445" s="412" t="s">
        <v>836</v>
      </c>
      <c r="D445" s="409"/>
      <c r="E445" s="401"/>
      <c r="F445" s="411"/>
      <c r="G445" s="402">
        <f t="shared" si="35"/>
        <v>0</v>
      </c>
    </row>
    <row r="446" spans="1:7" s="160" customFormat="1" x14ac:dyDescent="0.35">
      <c r="A446" s="398"/>
      <c r="B446" s="399"/>
      <c r="C446" s="400"/>
      <c r="D446" s="409"/>
      <c r="E446" s="401"/>
      <c r="F446" s="411"/>
      <c r="G446" s="402">
        <f t="shared" ref="G446:G460" si="36">D446*F446</f>
        <v>0</v>
      </c>
    </row>
    <row r="447" spans="1:7" s="160" customFormat="1" ht="119.25" x14ac:dyDescent="0.35">
      <c r="A447" s="398"/>
      <c r="B447" s="399"/>
      <c r="C447" s="400" t="s">
        <v>945</v>
      </c>
      <c r="D447" s="409">
        <v>28</v>
      </c>
      <c r="E447" s="401" t="s">
        <v>26</v>
      </c>
      <c r="F447" s="411"/>
      <c r="G447" s="402">
        <f t="shared" si="36"/>
        <v>0</v>
      </c>
    </row>
    <row r="448" spans="1:7" s="160" customFormat="1" x14ac:dyDescent="0.35">
      <c r="A448" s="398"/>
      <c r="B448" s="399"/>
      <c r="C448" s="400"/>
      <c r="D448" s="409"/>
      <c r="E448" s="401"/>
      <c r="F448" s="411"/>
      <c r="G448" s="402">
        <f t="shared" si="36"/>
        <v>0</v>
      </c>
    </row>
    <row r="449" spans="1:7" s="160" customFormat="1" ht="119.25" x14ac:dyDescent="0.35">
      <c r="A449" s="398"/>
      <c r="B449" s="399"/>
      <c r="C449" s="400" t="s">
        <v>946</v>
      </c>
      <c r="D449" s="409">
        <v>36</v>
      </c>
      <c r="E449" s="401" t="s">
        <v>26</v>
      </c>
      <c r="F449" s="411"/>
      <c r="G449" s="402">
        <f t="shared" si="36"/>
        <v>0</v>
      </c>
    </row>
    <row r="450" spans="1:7" s="160" customFormat="1" x14ac:dyDescent="0.35">
      <c r="A450" s="398"/>
      <c r="B450" s="399"/>
      <c r="C450" s="400"/>
      <c r="D450" s="409"/>
      <c r="E450" s="401"/>
      <c r="F450" s="411"/>
      <c r="G450" s="402">
        <f t="shared" si="36"/>
        <v>0</v>
      </c>
    </row>
    <row r="451" spans="1:7" s="160" customFormat="1" ht="119.25" x14ac:dyDescent="0.35">
      <c r="A451" s="398"/>
      <c r="B451" s="399"/>
      <c r="C451" s="400" t="s">
        <v>947</v>
      </c>
      <c r="D451" s="409">
        <v>12</v>
      </c>
      <c r="E451" s="401" t="s">
        <v>26</v>
      </c>
      <c r="F451" s="411"/>
      <c r="G451" s="402">
        <f t="shared" si="36"/>
        <v>0</v>
      </c>
    </row>
    <row r="452" spans="1:7" s="160" customFormat="1" x14ac:dyDescent="0.35">
      <c r="A452" s="398"/>
      <c r="B452" s="399"/>
      <c r="C452" s="400"/>
      <c r="D452" s="409"/>
      <c r="E452" s="401"/>
      <c r="F452" s="411"/>
      <c r="G452" s="402">
        <f t="shared" si="36"/>
        <v>0</v>
      </c>
    </row>
    <row r="453" spans="1:7" s="160" customFormat="1" ht="119.25" x14ac:dyDescent="0.35">
      <c r="A453" s="398"/>
      <c r="B453" s="399"/>
      <c r="C453" s="400" t="s">
        <v>948</v>
      </c>
      <c r="D453" s="409">
        <v>60</v>
      </c>
      <c r="E453" s="401" t="s">
        <v>26</v>
      </c>
      <c r="F453" s="411"/>
      <c r="G453" s="402">
        <f t="shared" si="36"/>
        <v>0</v>
      </c>
    </row>
    <row r="454" spans="1:7" s="160" customFormat="1" x14ac:dyDescent="0.35">
      <c r="A454" s="398"/>
      <c r="B454" s="399"/>
      <c r="C454" s="400"/>
      <c r="D454" s="409"/>
      <c r="E454" s="401"/>
      <c r="F454" s="411"/>
      <c r="G454" s="402">
        <f t="shared" si="36"/>
        <v>0</v>
      </c>
    </row>
    <row r="455" spans="1:7" s="160" customFormat="1" ht="119.25" x14ac:dyDescent="0.35">
      <c r="A455" s="398"/>
      <c r="B455" s="399"/>
      <c r="C455" s="400" t="s">
        <v>897</v>
      </c>
      <c r="D455" s="409">
        <v>42</v>
      </c>
      <c r="E455" s="401" t="s">
        <v>26</v>
      </c>
      <c r="F455" s="411"/>
      <c r="G455" s="402">
        <f t="shared" si="36"/>
        <v>0</v>
      </c>
    </row>
    <row r="456" spans="1:7" s="160" customFormat="1" x14ac:dyDescent="0.35">
      <c r="A456" s="398"/>
      <c r="B456" s="399"/>
      <c r="C456" s="400"/>
      <c r="D456" s="409"/>
      <c r="E456" s="401"/>
      <c r="F456" s="411"/>
      <c r="G456" s="402">
        <f t="shared" si="36"/>
        <v>0</v>
      </c>
    </row>
    <row r="457" spans="1:7" s="160" customFormat="1" ht="96" x14ac:dyDescent="0.35">
      <c r="A457" s="398"/>
      <c r="B457" s="399"/>
      <c r="C457" s="400" t="s">
        <v>838</v>
      </c>
      <c r="D457" s="409">
        <v>56</v>
      </c>
      <c r="E457" s="401" t="s">
        <v>26</v>
      </c>
      <c r="F457" s="411"/>
      <c r="G457" s="402">
        <f t="shared" si="36"/>
        <v>0</v>
      </c>
    </row>
    <row r="458" spans="1:7" s="160" customFormat="1" x14ac:dyDescent="0.35">
      <c r="A458" s="398"/>
      <c r="B458" s="399"/>
      <c r="C458" s="400"/>
      <c r="D458" s="409"/>
      <c r="E458" s="401"/>
      <c r="F458" s="411"/>
      <c r="G458" s="402">
        <f t="shared" si="36"/>
        <v>0</v>
      </c>
    </row>
    <row r="459" spans="1:7" s="160" customFormat="1" ht="142.5" x14ac:dyDescent="0.35">
      <c r="A459" s="398"/>
      <c r="B459" s="399"/>
      <c r="C459" s="400" t="s">
        <v>898</v>
      </c>
      <c r="D459" s="409">
        <v>72</v>
      </c>
      <c r="E459" s="401" t="s">
        <v>26</v>
      </c>
      <c r="F459" s="411"/>
      <c r="G459" s="402">
        <f t="shared" si="36"/>
        <v>0</v>
      </c>
    </row>
    <row r="460" spans="1:7" s="160" customFormat="1" ht="24" thickBot="1" x14ac:dyDescent="0.4">
      <c r="A460" s="398"/>
      <c r="B460" s="399"/>
      <c r="C460" s="400"/>
      <c r="D460" s="409"/>
      <c r="E460" s="401"/>
      <c r="F460" s="411"/>
      <c r="G460" s="402">
        <f t="shared" si="36"/>
        <v>0</v>
      </c>
    </row>
    <row r="461" spans="1:7" s="160" customFormat="1" ht="24" thickBot="1" x14ac:dyDescent="0.4">
      <c r="A461" s="398"/>
      <c r="B461" s="399"/>
      <c r="C461" s="404" t="s">
        <v>760</v>
      </c>
      <c r="D461" s="409"/>
      <c r="E461" s="401"/>
      <c r="F461" s="411"/>
      <c r="G461" s="405">
        <f>SUM(G447:G460)</f>
        <v>0</v>
      </c>
    </row>
    <row r="462" spans="1:7" ht="18.75" customHeight="1" x14ac:dyDescent="0.35">
      <c r="A462" s="383"/>
      <c r="B462" s="384"/>
      <c r="C462" s="385"/>
      <c r="D462" s="386"/>
      <c r="E462" s="387"/>
      <c r="F462" s="410"/>
      <c r="G462" s="387"/>
    </row>
    <row r="463" spans="1:7" s="160" customFormat="1" x14ac:dyDescent="0.35">
      <c r="A463" s="388"/>
      <c r="B463" s="389"/>
      <c r="C463" s="390"/>
      <c r="D463" s="391"/>
      <c r="E463" s="391"/>
      <c r="F463" s="393" t="s">
        <v>2</v>
      </c>
      <c r="G463" s="393"/>
    </row>
    <row r="464" spans="1:7" s="160" customFormat="1" ht="24" thickBot="1" x14ac:dyDescent="0.4">
      <c r="A464" s="394"/>
      <c r="B464" s="395"/>
      <c r="C464" s="396" t="s">
        <v>753</v>
      </c>
      <c r="D464" s="397" t="s">
        <v>3</v>
      </c>
      <c r="E464" s="397" t="s">
        <v>1</v>
      </c>
      <c r="F464" s="397" t="s">
        <v>4</v>
      </c>
      <c r="G464" s="397" t="s">
        <v>5</v>
      </c>
    </row>
    <row r="465" spans="1:7" s="160" customFormat="1" ht="18" customHeight="1" x14ac:dyDescent="0.35">
      <c r="A465" s="398"/>
      <c r="B465" s="399"/>
      <c r="C465" s="400"/>
      <c r="D465" s="409"/>
      <c r="E465" s="401"/>
      <c r="F465" s="411"/>
      <c r="G465" s="402">
        <f t="shared" ref="G465:G466" si="37">ROUND(D465*F465,2)</f>
        <v>0</v>
      </c>
    </row>
    <row r="466" spans="1:7" s="160" customFormat="1" x14ac:dyDescent="0.35">
      <c r="A466" s="398"/>
      <c r="B466" s="399"/>
      <c r="C466" s="412" t="s">
        <v>798</v>
      </c>
      <c r="D466" s="409"/>
      <c r="E466" s="401"/>
      <c r="F466" s="411"/>
      <c r="G466" s="402">
        <f t="shared" si="37"/>
        <v>0</v>
      </c>
    </row>
    <row r="467" spans="1:7" s="160" customFormat="1" x14ac:dyDescent="0.35">
      <c r="A467" s="398"/>
      <c r="B467" s="399"/>
      <c r="C467" s="400"/>
      <c r="D467" s="409"/>
      <c r="E467" s="401"/>
      <c r="F467" s="411"/>
      <c r="G467" s="402">
        <f t="shared" ref="G467:G475" si="38">D467*F467</f>
        <v>0</v>
      </c>
    </row>
    <row r="468" spans="1:7" s="160" customFormat="1" ht="139.5" x14ac:dyDescent="0.35">
      <c r="A468" s="398"/>
      <c r="B468" s="399"/>
      <c r="C468" s="400" t="s">
        <v>844</v>
      </c>
      <c r="D468" s="409">
        <v>72</v>
      </c>
      <c r="E468" s="401" t="s">
        <v>26</v>
      </c>
      <c r="F468" s="411"/>
      <c r="G468" s="402">
        <f t="shared" si="38"/>
        <v>0</v>
      </c>
    </row>
    <row r="469" spans="1:7" s="160" customFormat="1" x14ac:dyDescent="0.35">
      <c r="A469" s="398"/>
      <c r="B469" s="399"/>
      <c r="C469" s="400"/>
      <c r="D469" s="409"/>
      <c r="E469" s="401"/>
      <c r="F469" s="411"/>
      <c r="G469" s="402">
        <f t="shared" si="38"/>
        <v>0</v>
      </c>
    </row>
    <row r="470" spans="1:7" s="160" customFormat="1" ht="116.25" x14ac:dyDescent="0.35">
      <c r="A470" s="398"/>
      <c r="B470" s="399"/>
      <c r="C470" s="400" t="s">
        <v>845</v>
      </c>
      <c r="D470" s="409">
        <v>6</v>
      </c>
      <c r="E470" s="401" t="s">
        <v>761</v>
      </c>
      <c r="F470" s="411"/>
      <c r="G470" s="402">
        <f t="shared" si="38"/>
        <v>0</v>
      </c>
    </row>
    <row r="471" spans="1:7" s="160" customFormat="1" x14ac:dyDescent="0.35">
      <c r="A471" s="398"/>
      <c r="B471" s="399"/>
      <c r="C471" s="400"/>
      <c r="D471" s="409"/>
      <c r="E471" s="401"/>
      <c r="F471" s="411"/>
      <c r="G471" s="402">
        <f t="shared" si="38"/>
        <v>0</v>
      </c>
    </row>
    <row r="472" spans="1:7" s="160" customFormat="1" x14ac:dyDescent="0.35">
      <c r="A472" s="398"/>
      <c r="B472" s="399"/>
      <c r="C472" s="400"/>
      <c r="D472" s="409"/>
      <c r="E472" s="401"/>
      <c r="F472" s="411"/>
      <c r="G472" s="402">
        <f t="shared" si="38"/>
        <v>0</v>
      </c>
    </row>
    <row r="473" spans="1:7" s="160" customFormat="1" x14ac:dyDescent="0.35">
      <c r="A473" s="398"/>
      <c r="B473" s="399"/>
      <c r="C473" s="400"/>
      <c r="D473" s="409"/>
      <c r="E473" s="401"/>
      <c r="F473" s="411"/>
      <c r="G473" s="402">
        <f t="shared" si="38"/>
        <v>0</v>
      </c>
    </row>
    <row r="474" spans="1:7" s="160" customFormat="1" x14ac:dyDescent="0.35">
      <c r="A474" s="398"/>
      <c r="B474" s="399"/>
      <c r="C474" s="400"/>
      <c r="D474" s="409"/>
      <c r="E474" s="401"/>
      <c r="F474" s="411"/>
      <c r="G474" s="402">
        <f t="shared" si="38"/>
        <v>0</v>
      </c>
    </row>
    <row r="475" spans="1:7" s="160" customFormat="1" x14ac:dyDescent="0.35">
      <c r="A475" s="398"/>
      <c r="B475" s="399"/>
      <c r="C475" s="400"/>
      <c r="D475" s="409"/>
      <c r="E475" s="401"/>
      <c r="F475" s="411"/>
      <c r="G475" s="402">
        <f t="shared" si="38"/>
        <v>0</v>
      </c>
    </row>
    <row r="476" spans="1:7" s="160" customFormat="1" x14ac:dyDescent="0.35">
      <c r="A476" s="398"/>
      <c r="B476" s="399"/>
      <c r="C476" s="400"/>
      <c r="D476" s="409"/>
      <c r="E476" s="401"/>
      <c r="F476" s="411"/>
      <c r="G476" s="402">
        <f t="shared" ref="G476:G504" si="39">ROUND(D476*F476,2)</f>
        <v>0</v>
      </c>
    </row>
    <row r="477" spans="1:7" s="160" customFormat="1" x14ac:dyDescent="0.35">
      <c r="A477" s="398"/>
      <c r="B477" s="399"/>
      <c r="C477" s="400"/>
      <c r="D477" s="409"/>
      <c r="E477" s="401"/>
      <c r="F477" s="411"/>
      <c r="G477" s="402">
        <f t="shared" si="39"/>
        <v>0</v>
      </c>
    </row>
    <row r="478" spans="1:7" s="160" customFormat="1" x14ac:dyDescent="0.35">
      <c r="A478" s="398"/>
      <c r="B478" s="399"/>
      <c r="C478" s="400"/>
      <c r="D478" s="409"/>
      <c r="E478" s="401"/>
      <c r="F478" s="411"/>
      <c r="G478" s="402">
        <f t="shared" si="39"/>
        <v>0</v>
      </c>
    </row>
    <row r="479" spans="1:7" s="160" customFormat="1" x14ac:dyDescent="0.35">
      <c r="A479" s="398"/>
      <c r="B479" s="399"/>
      <c r="C479" s="400"/>
      <c r="D479" s="409"/>
      <c r="E479" s="401"/>
      <c r="F479" s="411"/>
      <c r="G479" s="402">
        <f t="shared" si="39"/>
        <v>0</v>
      </c>
    </row>
    <row r="480" spans="1:7" s="160" customFormat="1" x14ac:dyDescent="0.35">
      <c r="A480" s="398"/>
      <c r="B480" s="399"/>
      <c r="C480" s="400"/>
      <c r="D480" s="409"/>
      <c r="E480" s="401"/>
      <c r="F480" s="411"/>
      <c r="G480" s="402">
        <f t="shared" si="39"/>
        <v>0</v>
      </c>
    </row>
    <row r="481" spans="1:7" s="160" customFormat="1" x14ac:dyDescent="0.35">
      <c r="A481" s="398"/>
      <c r="B481" s="399"/>
      <c r="C481" s="400"/>
      <c r="D481" s="409"/>
      <c r="E481" s="401"/>
      <c r="F481" s="411"/>
      <c r="G481" s="402">
        <f t="shared" si="39"/>
        <v>0</v>
      </c>
    </row>
    <row r="482" spans="1:7" s="160" customFormat="1" x14ac:dyDescent="0.35">
      <c r="A482" s="398"/>
      <c r="B482" s="399"/>
      <c r="C482" s="400"/>
      <c r="D482" s="409"/>
      <c r="E482" s="401"/>
      <c r="F482" s="411"/>
      <c r="G482" s="402">
        <f t="shared" si="39"/>
        <v>0</v>
      </c>
    </row>
    <row r="483" spans="1:7" s="160" customFormat="1" x14ac:dyDescent="0.35">
      <c r="A483" s="398"/>
      <c r="B483" s="399"/>
      <c r="C483" s="400"/>
      <c r="D483" s="409"/>
      <c r="E483" s="401"/>
      <c r="F483" s="411"/>
      <c r="G483" s="402">
        <f t="shared" si="39"/>
        <v>0</v>
      </c>
    </row>
    <row r="484" spans="1:7" s="160" customFormat="1" x14ac:dyDescent="0.35">
      <c r="A484" s="398"/>
      <c r="B484" s="399"/>
      <c r="C484" s="400"/>
      <c r="D484" s="409"/>
      <c r="E484" s="401"/>
      <c r="F484" s="411"/>
      <c r="G484" s="402">
        <f t="shared" si="39"/>
        <v>0</v>
      </c>
    </row>
    <row r="485" spans="1:7" s="160" customFormat="1" x14ac:dyDescent="0.35">
      <c r="A485" s="398"/>
      <c r="B485" s="399"/>
      <c r="C485" s="400"/>
      <c r="D485" s="409"/>
      <c r="E485" s="401"/>
      <c r="F485" s="411"/>
      <c r="G485" s="402">
        <f t="shared" si="39"/>
        <v>0</v>
      </c>
    </row>
    <row r="486" spans="1:7" s="160" customFormat="1" x14ac:dyDescent="0.35">
      <c r="A486" s="398"/>
      <c r="B486" s="399"/>
      <c r="C486" s="400"/>
      <c r="D486" s="409"/>
      <c r="E486" s="401"/>
      <c r="F486" s="411"/>
      <c r="G486" s="402">
        <f t="shared" si="39"/>
        <v>0</v>
      </c>
    </row>
    <row r="487" spans="1:7" s="160" customFormat="1" x14ac:dyDescent="0.35">
      <c r="A487" s="398"/>
      <c r="B487" s="399"/>
      <c r="C487" s="400"/>
      <c r="D487" s="409"/>
      <c r="E487" s="401"/>
      <c r="F487" s="411"/>
      <c r="G487" s="402">
        <f t="shared" si="39"/>
        <v>0</v>
      </c>
    </row>
    <row r="488" spans="1:7" s="160" customFormat="1" x14ac:dyDescent="0.35">
      <c r="A488" s="398"/>
      <c r="B488" s="399"/>
      <c r="C488" s="400"/>
      <c r="D488" s="409"/>
      <c r="E488" s="401"/>
      <c r="F488" s="411"/>
      <c r="G488" s="402">
        <f t="shared" si="39"/>
        <v>0</v>
      </c>
    </row>
    <row r="489" spans="1:7" s="160" customFormat="1" x14ac:dyDescent="0.35">
      <c r="A489" s="398"/>
      <c r="B489" s="399"/>
      <c r="C489" s="400"/>
      <c r="D489" s="409"/>
      <c r="E489" s="401"/>
      <c r="F489" s="411"/>
      <c r="G489" s="402">
        <f t="shared" si="39"/>
        <v>0</v>
      </c>
    </row>
    <row r="490" spans="1:7" s="160" customFormat="1" ht="24" thickBot="1" x14ac:dyDescent="0.4">
      <c r="A490" s="398"/>
      <c r="B490" s="399"/>
      <c r="C490" s="400"/>
      <c r="D490" s="409"/>
      <c r="E490" s="401"/>
      <c r="F490" s="411"/>
      <c r="G490" s="402">
        <f t="shared" si="39"/>
        <v>0</v>
      </c>
    </row>
    <row r="491" spans="1:7" s="160" customFormat="1" ht="24" thickBot="1" x14ac:dyDescent="0.4">
      <c r="A491" s="398"/>
      <c r="B491" s="399"/>
      <c r="C491" s="404" t="s">
        <v>760</v>
      </c>
      <c r="D491" s="409"/>
      <c r="E491" s="401"/>
      <c r="F491" s="411"/>
      <c r="G491" s="405">
        <f>SUM(G468:G490)</f>
        <v>0</v>
      </c>
    </row>
    <row r="492" spans="1:7" s="160" customFormat="1" x14ac:dyDescent="0.35">
      <c r="A492" s="398"/>
      <c r="B492" s="399"/>
      <c r="C492" s="400"/>
      <c r="D492" s="409"/>
      <c r="E492" s="401"/>
      <c r="F492" s="411"/>
      <c r="G492" s="402">
        <f t="shared" si="39"/>
        <v>0</v>
      </c>
    </row>
    <row r="493" spans="1:7" s="160" customFormat="1" x14ac:dyDescent="0.35">
      <c r="A493" s="398"/>
      <c r="B493" s="399"/>
      <c r="C493" s="400"/>
      <c r="D493" s="409"/>
      <c r="E493" s="401"/>
      <c r="F493" s="411"/>
      <c r="G493" s="402">
        <f t="shared" si="39"/>
        <v>0</v>
      </c>
    </row>
    <row r="494" spans="1:7" s="160" customFormat="1" x14ac:dyDescent="0.35">
      <c r="A494" s="398"/>
      <c r="B494" s="399"/>
      <c r="C494" s="400"/>
      <c r="D494" s="409"/>
      <c r="E494" s="401"/>
      <c r="F494" s="411"/>
      <c r="G494" s="402">
        <f t="shared" si="39"/>
        <v>0</v>
      </c>
    </row>
    <row r="495" spans="1:7" s="160" customFormat="1" x14ac:dyDescent="0.35">
      <c r="A495" s="398"/>
      <c r="B495" s="399"/>
      <c r="C495" s="400"/>
      <c r="D495" s="409"/>
      <c r="E495" s="401"/>
      <c r="F495" s="411"/>
      <c r="G495" s="402"/>
    </row>
    <row r="496" spans="1:7" s="160" customFormat="1" x14ac:dyDescent="0.35">
      <c r="A496" s="398"/>
      <c r="B496" s="399"/>
      <c r="C496" s="400"/>
      <c r="D496" s="409"/>
      <c r="E496" s="401"/>
      <c r="F496" s="411"/>
      <c r="G496" s="402"/>
    </row>
    <row r="497" spans="1:7" s="160" customFormat="1" x14ac:dyDescent="0.35">
      <c r="A497" s="398"/>
      <c r="B497" s="399"/>
      <c r="C497" s="400"/>
      <c r="D497" s="409"/>
      <c r="E497" s="401"/>
      <c r="F497" s="411"/>
      <c r="G497" s="402"/>
    </row>
    <row r="498" spans="1:7" s="160" customFormat="1" x14ac:dyDescent="0.35">
      <c r="A498" s="398"/>
      <c r="B498" s="399"/>
      <c r="C498" s="400"/>
      <c r="D498" s="409"/>
      <c r="E498" s="401"/>
      <c r="F498" s="411"/>
      <c r="G498" s="402">
        <f t="shared" si="39"/>
        <v>0</v>
      </c>
    </row>
    <row r="499" spans="1:7" s="160" customFormat="1" x14ac:dyDescent="0.35">
      <c r="A499" s="398"/>
      <c r="B499" s="399"/>
      <c r="C499" s="400"/>
      <c r="D499" s="409"/>
      <c r="E499" s="401"/>
      <c r="F499" s="411"/>
      <c r="G499" s="402">
        <f t="shared" si="39"/>
        <v>0</v>
      </c>
    </row>
    <row r="500" spans="1:7" s="160" customFormat="1" x14ac:dyDescent="0.35">
      <c r="A500" s="398"/>
      <c r="B500" s="399"/>
      <c r="C500" s="400"/>
      <c r="D500" s="409"/>
      <c r="E500" s="401"/>
      <c r="F500" s="411"/>
      <c r="G500" s="402">
        <f t="shared" si="39"/>
        <v>0</v>
      </c>
    </row>
    <row r="501" spans="1:7" s="160" customFormat="1" x14ac:dyDescent="0.35">
      <c r="A501" s="398"/>
      <c r="B501" s="399"/>
      <c r="C501" s="400"/>
      <c r="D501" s="409"/>
      <c r="E501" s="401"/>
      <c r="F501" s="411"/>
      <c r="G501" s="402">
        <f t="shared" si="39"/>
        <v>0</v>
      </c>
    </row>
    <row r="502" spans="1:7" s="160" customFormat="1" x14ac:dyDescent="0.35">
      <c r="A502" s="398"/>
      <c r="B502" s="399"/>
      <c r="C502" s="400"/>
      <c r="D502" s="409"/>
      <c r="E502" s="401"/>
      <c r="F502" s="411"/>
      <c r="G502" s="402">
        <f t="shared" si="39"/>
        <v>0</v>
      </c>
    </row>
    <row r="503" spans="1:7" s="160" customFormat="1" x14ac:dyDescent="0.35">
      <c r="A503" s="398"/>
      <c r="B503" s="399"/>
      <c r="C503" s="400"/>
      <c r="D503" s="409"/>
      <c r="E503" s="401"/>
      <c r="F503" s="411"/>
      <c r="G503" s="402">
        <f t="shared" si="39"/>
        <v>0</v>
      </c>
    </row>
    <row r="504" spans="1:7" s="160" customFormat="1" ht="24" thickBot="1" x14ac:dyDescent="0.4">
      <c r="A504" s="398"/>
      <c r="B504" s="399"/>
      <c r="C504" s="400"/>
      <c r="D504" s="409"/>
      <c r="E504" s="401"/>
      <c r="F504" s="411"/>
      <c r="G504" s="402">
        <f t="shared" si="39"/>
        <v>0</v>
      </c>
    </row>
    <row r="505" spans="1:7" ht="18.75" customHeight="1" x14ac:dyDescent="0.35">
      <c r="A505" s="383"/>
      <c r="B505" s="384"/>
      <c r="C505" s="385"/>
      <c r="D505" s="386"/>
      <c r="E505" s="387"/>
      <c r="F505" s="410"/>
      <c r="G505" s="387"/>
    </row>
    <row r="506" spans="1:7" s="160" customFormat="1" x14ac:dyDescent="0.35">
      <c r="A506" s="388"/>
      <c r="B506" s="389"/>
      <c r="C506" s="390"/>
      <c r="D506" s="391"/>
      <c r="E506" s="391"/>
      <c r="F506" s="393" t="s">
        <v>2</v>
      </c>
      <c r="G506" s="393"/>
    </row>
    <row r="507" spans="1:7" s="160" customFormat="1" ht="24" thickBot="1" x14ac:dyDescent="0.4">
      <c r="A507" s="394"/>
      <c r="B507" s="395"/>
      <c r="C507" s="396" t="s">
        <v>753</v>
      </c>
      <c r="D507" s="397" t="s">
        <v>3</v>
      </c>
      <c r="E507" s="397" t="s">
        <v>1</v>
      </c>
      <c r="F507" s="397" t="s">
        <v>4</v>
      </c>
      <c r="G507" s="397" t="s">
        <v>5</v>
      </c>
    </row>
    <row r="508" spans="1:7" s="160" customFormat="1" ht="18" customHeight="1" x14ac:dyDescent="0.35">
      <c r="A508" s="398"/>
      <c r="B508" s="399"/>
      <c r="C508" s="400"/>
      <c r="D508" s="409"/>
      <c r="E508" s="401"/>
      <c r="F508" s="411"/>
      <c r="G508" s="402">
        <f t="shared" ref="G508:G509" si="40">ROUND(D508*F508,2)</f>
        <v>0</v>
      </c>
    </row>
    <row r="509" spans="1:7" s="160" customFormat="1" x14ac:dyDescent="0.35">
      <c r="A509" s="398"/>
      <c r="B509" s="399"/>
      <c r="C509" s="412" t="s">
        <v>843</v>
      </c>
      <c r="D509" s="409"/>
      <c r="E509" s="401"/>
      <c r="F509" s="411"/>
      <c r="G509" s="402">
        <f t="shared" si="40"/>
        <v>0</v>
      </c>
    </row>
    <row r="510" spans="1:7" s="160" customFormat="1" x14ac:dyDescent="0.35">
      <c r="A510" s="398"/>
      <c r="B510" s="399"/>
      <c r="C510" s="400"/>
      <c r="D510" s="409"/>
      <c r="E510" s="401"/>
      <c r="F510" s="411"/>
      <c r="G510" s="402">
        <f t="shared" ref="G510:G529" si="41">D510*F510</f>
        <v>0</v>
      </c>
    </row>
    <row r="511" spans="1:7" s="160" customFormat="1" ht="93" x14ac:dyDescent="0.35">
      <c r="A511" s="398"/>
      <c r="B511" s="399"/>
      <c r="C511" s="400" t="s">
        <v>850</v>
      </c>
      <c r="D511" s="409">
        <v>72</v>
      </c>
      <c r="E511" s="401" t="s">
        <v>468</v>
      </c>
      <c r="F511" s="411"/>
      <c r="G511" s="402">
        <f t="shared" si="41"/>
        <v>0</v>
      </c>
    </row>
    <row r="512" spans="1:7" s="160" customFormat="1" x14ac:dyDescent="0.35">
      <c r="A512" s="398"/>
      <c r="B512" s="399"/>
      <c r="C512" s="400"/>
      <c r="D512" s="409"/>
      <c r="E512" s="401"/>
      <c r="F512" s="411"/>
      <c r="G512" s="402">
        <f t="shared" si="41"/>
        <v>0</v>
      </c>
    </row>
    <row r="513" spans="1:7" s="160" customFormat="1" ht="93" x14ac:dyDescent="0.35">
      <c r="A513" s="398"/>
      <c r="B513" s="399"/>
      <c r="C513" s="400" t="s">
        <v>852</v>
      </c>
      <c r="D513" s="409">
        <v>62</v>
      </c>
      <c r="E513" s="401" t="s">
        <v>468</v>
      </c>
      <c r="F513" s="411"/>
      <c r="G513" s="402">
        <f t="shared" si="41"/>
        <v>0</v>
      </c>
    </row>
    <row r="514" spans="1:7" s="160" customFormat="1" x14ac:dyDescent="0.35">
      <c r="A514" s="398"/>
      <c r="B514" s="399"/>
      <c r="C514" s="400"/>
      <c r="D514" s="409"/>
      <c r="E514" s="401"/>
      <c r="F514" s="411"/>
      <c r="G514" s="402">
        <f t="shared" si="41"/>
        <v>0</v>
      </c>
    </row>
    <row r="515" spans="1:7" s="160" customFormat="1" ht="93" x14ac:dyDescent="0.35">
      <c r="A515" s="398"/>
      <c r="B515" s="399"/>
      <c r="C515" s="400" t="s">
        <v>851</v>
      </c>
      <c r="D515" s="409">
        <v>74</v>
      </c>
      <c r="E515" s="401" t="s">
        <v>468</v>
      </c>
      <c r="F515" s="411"/>
      <c r="G515" s="402">
        <f t="shared" si="41"/>
        <v>0</v>
      </c>
    </row>
    <row r="516" spans="1:7" s="160" customFormat="1" x14ac:dyDescent="0.35">
      <c r="A516" s="398"/>
      <c r="B516" s="399"/>
      <c r="C516" s="400"/>
      <c r="D516" s="409"/>
      <c r="E516" s="401"/>
      <c r="F516" s="411"/>
      <c r="G516" s="402">
        <f t="shared" si="41"/>
        <v>0</v>
      </c>
    </row>
    <row r="517" spans="1:7" s="160" customFormat="1" ht="46.5" x14ac:dyDescent="0.35">
      <c r="A517" s="398"/>
      <c r="B517" s="399"/>
      <c r="C517" s="400" t="s">
        <v>849</v>
      </c>
      <c r="D517" s="409">
        <v>6</v>
      </c>
      <c r="E517" s="401" t="s">
        <v>810</v>
      </c>
      <c r="F517" s="411"/>
      <c r="G517" s="402">
        <f t="shared" si="41"/>
        <v>0</v>
      </c>
    </row>
    <row r="518" spans="1:7" s="160" customFormat="1" x14ac:dyDescent="0.35">
      <c r="A518" s="398"/>
      <c r="B518" s="399"/>
      <c r="C518" s="400"/>
      <c r="D518" s="409"/>
      <c r="E518" s="401"/>
      <c r="F518" s="411"/>
      <c r="G518" s="402">
        <f t="shared" si="41"/>
        <v>0</v>
      </c>
    </row>
    <row r="519" spans="1:7" s="160" customFormat="1" ht="69.75" x14ac:dyDescent="0.35">
      <c r="A519" s="398"/>
      <c r="B519" s="399"/>
      <c r="C519" s="400" t="s">
        <v>853</v>
      </c>
      <c r="D519" s="409">
        <v>1240</v>
      </c>
      <c r="E519" s="401" t="s">
        <v>772</v>
      </c>
      <c r="F519" s="411"/>
      <c r="G519" s="402">
        <f t="shared" si="41"/>
        <v>0</v>
      </c>
    </row>
    <row r="520" spans="1:7" s="160" customFormat="1" x14ac:dyDescent="0.35">
      <c r="A520" s="398"/>
      <c r="B520" s="399"/>
      <c r="C520" s="400"/>
      <c r="D520" s="409"/>
      <c r="E520" s="401"/>
      <c r="F520" s="411"/>
      <c r="G520" s="402">
        <f t="shared" si="41"/>
        <v>0</v>
      </c>
    </row>
    <row r="521" spans="1:7" s="160" customFormat="1" ht="69.75" x14ac:dyDescent="0.35">
      <c r="A521" s="398"/>
      <c r="B521" s="399"/>
      <c r="C521" s="400" t="s">
        <v>854</v>
      </c>
      <c r="D521" s="409">
        <v>282</v>
      </c>
      <c r="E521" s="401" t="s">
        <v>772</v>
      </c>
      <c r="F521" s="411"/>
      <c r="G521" s="402">
        <f t="shared" si="41"/>
        <v>0</v>
      </c>
    </row>
    <row r="522" spans="1:7" s="160" customFormat="1" x14ac:dyDescent="0.35">
      <c r="A522" s="398"/>
      <c r="B522" s="399"/>
      <c r="C522" s="400"/>
      <c r="D522" s="409"/>
      <c r="E522" s="401"/>
      <c r="F522" s="411"/>
      <c r="G522" s="402">
        <f t="shared" si="41"/>
        <v>0</v>
      </c>
    </row>
    <row r="523" spans="1:7" s="160" customFormat="1" ht="69.75" x14ac:dyDescent="0.35">
      <c r="A523" s="398"/>
      <c r="B523" s="399"/>
      <c r="C523" s="400" t="s">
        <v>855</v>
      </c>
      <c r="D523" s="409">
        <v>54</v>
      </c>
      <c r="E523" s="401" t="s">
        <v>772</v>
      </c>
      <c r="F523" s="411"/>
      <c r="G523" s="402">
        <f t="shared" si="41"/>
        <v>0</v>
      </c>
    </row>
    <row r="524" spans="1:7" s="160" customFormat="1" x14ac:dyDescent="0.35">
      <c r="A524" s="398"/>
      <c r="B524" s="399"/>
      <c r="C524" s="400"/>
      <c r="D524" s="409"/>
      <c r="E524" s="401"/>
      <c r="F524" s="411"/>
      <c r="G524" s="402">
        <f t="shared" si="41"/>
        <v>0</v>
      </c>
    </row>
    <row r="525" spans="1:7" s="160" customFormat="1" ht="69.75" x14ac:dyDescent="0.35">
      <c r="A525" s="398"/>
      <c r="B525" s="399"/>
      <c r="C525" s="400" t="s">
        <v>856</v>
      </c>
      <c r="D525" s="409">
        <v>260</v>
      </c>
      <c r="E525" s="401" t="s">
        <v>772</v>
      </c>
      <c r="F525" s="411"/>
      <c r="G525" s="402">
        <f>D525*F525</f>
        <v>0</v>
      </c>
    </row>
    <row r="526" spans="1:7" s="160" customFormat="1" x14ac:dyDescent="0.35">
      <c r="A526" s="398"/>
      <c r="B526" s="399"/>
      <c r="C526" s="400"/>
      <c r="D526" s="409"/>
      <c r="E526" s="401"/>
      <c r="F526" s="411"/>
      <c r="G526" s="402">
        <f t="shared" si="41"/>
        <v>0</v>
      </c>
    </row>
    <row r="527" spans="1:7" s="160" customFormat="1" ht="93" x14ac:dyDescent="0.35">
      <c r="A527" s="398"/>
      <c r="B527" s="399"/>
      <c r="C527" s="400" t="s">
        <v>857</v>
      </c>
      <c r="D527" s="409">
        <v>164</v>
      </c>
      <c r="E527" s="401" t="s">
        <v>26</v>
      </c>
      <c r="F527" s="411"/>
      <c r="G527" s="402">
        <f t="shared" si="41"/>
        <v>0</v>
      </c>
    </row>
    <row r="528" spans="1:7" s="160" customFormat="1" x14ac:dyDescent="0.35">
      <c r="A528" s="398"/>
      <c r="B528" s="399"/>
      <c r="C528" s="400"/>
      <c r="D528" s="409"/>
      <c r="E528" s="401"/>
      <c r="F528" s="411"/>
      <c r="G528" s="402">
        <f t="shared" si="41"/>
        <v>0</v>
      </c>
    </row>
    <row r="529" spans="1:7" s="160" customFormat="1" ht="93" x14ac:dyDescent="0.35">
      <c r="A529" s="398"/>
      <c r="B529" s="399"/>
      <c r="C529" s="400" t="s">
        <v>860</v>
      </c>
      <c r="D529" s="409">
        <v>76</v>
      </c>
      <c r="E529" s="401" t="s">
        <v>772</v>
      </c>
      <c r="F529" s="411"/>
      <c r="G529" s="402">
        <f t="shared" si="41"/>
        <v>0</v>
      </c>
    </row>
    <row r="530" spans="1:7" s="160" customFormat="1" x14ac:dyDescent="0.35">
      <c r="A530" s="398"/>
      <c r="B530" s="399"/>
      <c r="C530" s="400"/>
      <c r="D530" s="409"/>
      <c r="E530" s="401"/>
      <c r="F530" s="411"/>
      <c r="G530" s="402">
        <f t="shared" ref="G530:G531" si="42">ROUND(D530*F530,2)</f>
        <v>0</v>
      </c>
    </row>
    <row r="531" spans="1:7" s="160" customFormat="1" ht="24" thickBot="1" x14ac:dyDescent="0.4">
      <c r="A531" s="398"/>
      <c r="B531" s="399"/>
      <c r="C531" s="400"/>
      <c r="D531" s="409"/>
      <c r="E531" s="401"/>
      <c r="F531" s="411"/>
      <c r="G531" s="402">
        <f t="shared" si="42"/>
        <v>0</v>
      </c>
    </row>
    <row r="532" spans="1:7" s="160" customFormat="1" ht="24" thickBot="1" x14ac:dyDescent="0.4">
      <c r="A532" s="398"/>
      <c r="B532" s="399"/>
      <c r="C532" s="404" t="s">
        <v>760</v>
      </c>
      <c r="D532" s="409"/>
      <c r="E532" s="401"/>
      <c r="F532" s="411"/>
      <c r="G532" s="405">
        <f>SUM(G510:G531)</f>
        <v>0</v>
      </c>
    </row>
    <row r="533" spans="1:7" ht="18.75" customHeight="1" x14ac:dyDescent="0.35">
      <c r="A533" s="383"/>
      <c r="B533" s="384"/>
      <c r="C533" s="385"/>
      <c r="D533" s="386"/>
      <c r="E533" s="387"/>
      <c r="F533" s="410"/>
      <c r="G533" s="387"/>
    </row>
    <row r="534" spans="1:7" s="160" customFormat="1" x14ac:dyDescent="0.35">
      <c r="A534" s="388"/>
      <c r="B534" s="389"/>
      <c r="C534" s="390"/>
      <c r="D534" s="391"/>
      <c r="E534" s="391"/>
      <c r="F534" s="393" t="s">
        <v>2</v>
      </c>
      <c r="G534" s="393"/>
    </row>
    <row r="535" spans="1:7" s="160" customFormat="1" ht="24" thickBot="1" x14ac:dyDescent="0.4">
      <c r="A535" s="394"/>
      <c r="B535" s="395"/>
      <c r="C535" s="396" t="s">
        <v>753</v>
      </c>
      <c r="D535" s="397" t="s">
        <v>3</v>
      </c>
      <c r="E535" s="397" t="s">
        <v>1</v>
      </c>
      <c r="F535" s="397" t="s">
        <v>4</v>
      </c>
      <c r="G535" s="397" t="s">
        <v>5</v>
      </c>
    </row>
    <row r="536" spans="1:7" s="160" customFormat="1" ht="18" customHeight="1" x14ac:dyDescent="0.35">
      <c r="A536" s="398"/>
      <c r="B536" s="399"/>
      <c r="C536" s="400"/>
      <c r="D536" s="409"/>
      <c r="E536" s="401"/>
      <c r="F536" s="411"/>
      <c r="G536" s="402">
        <f t="shared" ref="G536:G578" si="43">ROUND(D536*F536,2)</f>
        <v>0</v>
      </c>
    </row>
    <row r="537" spans="1:7" s="160" customFormat="1" ht="46.5" x14ac:dyDescent="0.35">
      <c r="A537" s="398"/>
      <c r="B537" s="399"/>
      <c r="C537" s="412" t="s">
        <v>858</v>
      </c>
      <c r="D537" s="409"/>
      <c r="E537" s="401"/>
      <c r="F537" s="411"/>
      <c r="G537" s="402">
        <f t="shared" si="43"/>
        <v>0</v>
      </c>
    </row>
    <row r="538" spans="1:7" s="160" customFormat="1" x14ac:dyDescent="0.35">
      <c r="A538" s="398"/>
      <c r="B538" s="399"/>
      <c r="C538" s="400"/>
      <c r="D538" s="409"/>
      <c r="E538" s="401"/>
      <c r="F538" s="411"/>
      <c r="G538" s="402">
        <f t="shared" ref="G538:G563" si="44">D538*F538</f>
        <v>0</v>
      </c>
    </row>
    <row r="539" spans="1:7" s="160" customFormat="1" ht="139.5" x14ac:dyDescent="0.35">
      <c r="A539" s="398"/>
      <c r="B539" s="399"/>
      <c r="C539" s="400" t="s">
        <v>859</v>
      </c>
      <c r="D539" s="409">
        <v>278</v>
      </c>
      <c r="E539" s="401" t="s">
        <v>468</v>
      </c>
      <c r="F539" s="411"/>
      <c r="G539" s="402">
        <f t="shared" si="44"/>
        <v>0</v>
      </c>
    </row>
    <row r="540" spans="1:7" s="160" customFormat="1" x14ac:dyDescent="0.35">
      <c r="A540" s="398"/>
      <c r="B540" s="399"/>
      <c r="C540" s="400"/>
      <c r="D540" s="409"/>
      <c r="E540" s="401"/>
      <c r="F540" s="411"/>
      <c r="G540" s="402">
        <f t="shared" si="44"/>
        <v>0</v>
      </c>
    </row>
    <row r="541" spans="1:7" s="160" customFormat="1" ht="46.5" x14ac:dyDescent="0.35">
      <c r="A541" s="398"/>
      <c r="B541" s="399"/>
      <c r="C541" s="400" t="s">
        <v>861</v>
      </c>
      <c r="D541" s="409">
        <v>12</v>
      </c>
      <c r="E541" s="401" t="s">
        <v>761</v>
      </c>
      <c r="F541" s="411"/>
      <c r="G541" s="402">
        <f t="shared" si="44"/>
        <v>0</v>
      </c>
    </row>
    <row r="542" spans="1:7" s="160" customFormat="1" x14ac:dyDescent="0.35">
      <c r="A542" s="398"/>
      <c r="B542" s="399"/>
      <c r="C542" s="400"/>
      <c r="D542" s="409"/>
      <c r="E542" s="401"/>
      <c r="F542" s="411"/>
      <c r="G542" s="402">
        <f t="shared" si="44"/>
        <v>0</v>
      </c>
    </row>
    <row r="543" spans="1:7" s="160" customFormat="1" ht="69.75" x14ac:dyDescent="0.35">
      <c r="A543" s="398"/>
      <c r="B543" s="399"/>
      <c r="C543" s="400" t="s">
        <v>862</v>
      </c>
      <c r="D543" s="409">
        <v>184</v>
      </c>
      <c r="E543" s="401" t="s">
        <v>772</v>
      </c>
      <c r="F543" s="411"/>
      <c r="G543" s="402">
        <f t="shared" si="44"/>
        <v>0</v>
      </c>
    </row>
    <row r="544" spans="1:7" s="160" customFormat="1" x14ac:dyDescent="0.35">
      <c r="A544" s="398"/>
      <c r="B544" s="399"/>
      <c r="C544" s="400"/>
      <c r="D544" s="409"/>
      <c r="E544" s="401"/>
      <c r="F544" s="411"/>
      <c r="G544" s="402">
        <f t="shared" si="44"/>
        <v>0</v>
      </c>
    </row>
    <row r="545" spans="1:7" s="160" customFormat="1" ht="116.25" x14ac:dyDescent="0.35">
      <c r="A545" s="398"/>
      <c r="B545" s="399"/>
      <c r="C545" s="400" t="s">
        <v>903</v>
      </c>
      <c r="D545" s="409">
        <v>600</v>
      </c>
      <c r="E545" s="401" t="s">
        <v>772</v>
      </c>
      <c r="F545" s="411"/>
      <c r="G545" s="402">
        <f t="shared" si="44"/>
        <v>0</v>
      </c>
    </row>
    <row r="546" spans="1:7" s="160" customFormat="1" x14ac:dyDescent="0.35">
      <c r="A546" s="398"/>
      <c r="B546" s="399"/>
      <c r="C546" s="400"/>
      <c r="D546" s="409"/>
      <c r="E546" s="401"/>
      <c r="F546" s="411"/>
      <c r="G546" s="402">
        <f t="shared" si="44"/>
        <v>0</v>
      </c>
    </row>
    <row r="547" spans="1:7" s="160" customFormat="1" x14ac:dyDescent="0.35">
      <c r="A547" s="398"/>
      <c r="B547" s="399"/>
      <c r="C547" s="400"/>
      <c r="D547" s="409"/>
      <c r="E547" s="401"/>
      <c r="F547" s="411"/>
      <c r="G547" s="402">
        <f t="shared" si="44"/>
        <v>0</v>
      </c>
    </row>
    <row r="548" spans="1:7" s="160" customFormat="1" x14ac:dyDescent="0.35">
      <c r="A548" s="398"/>
      <c r="B548" s="399"/>
      <c r="C548" s="400" t="s">
        <v>830</v>
      </c>
      <c r="D548" s="409">
        <v>1</v>
      </c>
      <c r="E548" s="401" t="s">
        <v>819</v>
      </c>
      <c r="F548" s="411"/>
      <c r="G548" s="402">
        <f t="shared" si="44"/>
        <v>0</v>
      </c>
    </row>
    <row r="549" spans="1:7" s="160" customFormat="1" x14ac:dyDescent="0.35">
      <c r="A549" s="398"/>
      <c r="B549" s="399"/>
      <c r="C549" s="400"/>
      <c r="D549" s="409"/>
      <c r="E549" s="401"/>
      <c r="F549" s="411"/>
      <c r="G549" s="402">
        <f t="shared" si="44"/>
        <v>0</v>
      </c>
    </row>
    <row r="550" spans="1:7" s="160" customFormat="1" x14ac:dyDescent="0.35">
      <c r="A550" s="398"/>
      <c r="B550" s="399"/>
      <c r="C550" s="400"/>
      <c r="D550" s="409"/>
      <c r="E550" s="401"/>
      <c r="F550" s="411"/>
      <c r="G550" s="402">
        <f t="shared" si="44"/>
        <v>0</v>
      </c>
    </row>
    <row r="551" spans="1:7" s="160" customFormat="1" x14ac:dyDescent="0.35">
      <c r="A551" s="398"/>
      <c r="B551" s="399"/>
      <c r="C551" s="400"/>
      <c r="D551" s="409"/>
      <c r="E551" s="401"/>
      <c r="F551" s="411"/>
      <c r="G551" s="402">
        <f t="shared" si="44"/>
        <v>0</v>
      </c>
    </row>
    <row r="552" spans="1:7" s="160" customFormat="1" x14ac:dyDescent="0.35">
      <c r="A552" s="398"/>
      <c r="B552" s="399"/>
      <c r="C552" s="400"/>
      <c r="D552" s="409"/>
      <c r="E552" s="401"/>
      <c r="F552" s="411"/>
      <c r="G552" s="402">
        <f t="shared" si="44"/>
        <v>0</v>
      </c>
    </row>
    <row r="553" spans="1:7" s="160" customFormat="1" x14ac:dyDescent="0.35">
      <c r="A553" s="398"/>
      <c r="B553" s="399"/>
      <c r="C553" s="400"/>
      <c r="D553" s="409"/>
      <c r="E553" s="401"/>
      <c r="F553" s="411"/>
      <c r="G553" s="402">
        <f t="shared" si="44"/>
        <v>0</v>
      </c>
    </row>
    <row r="554" spans="1:7" s="160" customFormat="1" x14ac:dyDescent="0.35">
      <c r="A554" s="398"/>
      <c r="B554" s="399"/>
      <c r="C554" s="400"/>
      <c r="D554" s="409"/>
      <c r="E554" s="401"/>
      <c r="F554" s="411"/>
      <c r="G554" s="402">
        <f t="shared" si="44"/>
        <v>0</v>
      </c>
    </row>
    <row r="555" spans="1:7" s="160" customFormat="1" x14ac:dyDescent="0.35">
      <c r="A555" s="398"/>
      <c r="B555" s="399"/>
      <c r="C555" s="400"/>
      <c r="D555" s="409"/>
      <c r="E555" s="401"/>
      <c r="F555" s="411"/>
      <c r="G555" s="402">
        <f t="shared" si="44"/>
        <v>0</v>
      </c>
    </row>
    <row r="556" spans="1:7" s="160" customFormat="1" x14ac:dyDescent="0.35">
      <c r="A556" s="398"/>
      <c r="B556" s="399"/>
      <c r="C556" s="400"/>
      <c r="D556" s="409"/>
      <c r="E556" s="401"/>
      <c r="F556" s="411"/>
      <c r="G556" s="402">
        <f t="shared" si="44"/>
        <v>0</v>
      </c>
    </row>
    <row r="557" spans="1:7" s="160" customFormat="1" x14ac:dyDescent="0.35">
      <c r="A557" s="398"/>
      <c r="B557" s="399"/>
      <c r="C557" s="400"/>
      <c r="D557" s="409"/>
      <c r="E557" s="401"/>
      <c r="F557" s="411"/>
      <c r="G557" s="402">
        <f t="shared" si="44"/>
        <v>0</v>
      </c>
    </row>
    <row r="558" spans="1:7" s="160" customFormat="1" x14ac:dyDescent="0.35">
      <c r="A558" s="398"/>
      <c r="B558" s="399"/>
      <c r="C558" s="400"/>
      <c r="D558" s="409"/>
      <c r="E558" s="401"/>
      <c r="F558" s="411"/>
      <c r="G558" s="402">
        <f t="shared" si="44"/>
        <v>0</v>
      </c>
    </row>
    <row r="559" spans="1:7" s="160" customFormat="1" x14ac:dyDescent="0.35">
      <c r="A559" s="398"/>
      <c r="B559" s="399"/>
      <c r="C559" s="400"/>
      <c r="D559" s="409"/>
      <c r="E559" s="401"/>
      <c r="F559" s="411"/>
      <c r="G559" s="402">
        <f t="shared" si="44"/>
        <v>0</v>
      </c>
    </row>
    <row r="560" spans="1:7" s="160" customFormat="1" x14ac:dyDescent="0.35">
      <c r="A560" s="398"/>
      <c r="B560" s="399"/>
      <c r="C560" s="400"/>
      <c r="D560" s="409"/>
      <c r="E560" s="401"/>
      <c r="F560" s="411"/>
      <c r="G560" s="402">
        <f t="shared" si="44"/>
        <v>0</v>
      </c>
    </row>
    <row r="561" spans="1:7" s="160" customFormat="1" x14ac:dyDescent="0.35">
      <c r="A561" s="398"/>
      <c r="B561" s="399"/>
      <c r="C561" s="400"/>
      <c r="D561" s="409"/>
      <c r="E561" s="401"/>
      <c r="F561" s="411"/>
      <c r="G561" s="402">
        <f t="shared" si="44"/>
        <v>0</v>
      </c>
    </row>
    <row r="562" spans="1:7" s="160" customFormat="1" x14ac:dyDescent="0.35">
      <c r="A562" s="398"/>
      <c r="B562" s="399"/>
      <c r="C562" s="400"/>
      <c r="D562" s="409"/>
      <c r="E562" s="401"/>
      <c r="F562" s="411"/>
      <c r="G562" s="402">
        <f t="shared" si="44"/>
        <v>0</v>
      </c>
    </row>
    <row r="563" spans="1:7" s="160" customFormat="1" x14ac:dyDescent="0.35">
      <c r="A563" s="398"/>
      <c r="B563" s="399"/>
      <c r="C563" s="400"/>
      <c r="D563" s="409"/>
      <c r="E563" s="401"/>
      <c r="F563" s="411"/>
      <c r="G563" s="402">
        <f t="shared" si="44"/>
        <v>0</v>
      </c>
    </row>
    <row r="564" spans="1:7" s="160" customFormat="1" x14ac:dyDescent="0.35">
      <c r="A564" s="398"/>
      <c r="B564" s="399"/>
      <c r="C564" s="400"/>
      <c r="D564" s="409"/>
      <c r="E564" s="401"/>
      <c r="F564" s="411"/>
      <c r="G564" s="402">
        <f t="shared" si="43"/>
        <v>0</v>
      </c>
    </row>
    <row r="565" spans="1:7" s="160" customFormat="1" ht="24" thickBot="1" x14ac:dyDescent="0.4">
      <c r="A565" s="398"/>
      <c r="B565" s="399"/>
      <c r="C565" s="400"/>
      <c r="D565" s="409"/>
      <c r="E565" s="401"/>
      <c r="F565" s="411"/>
      <c r="G565" s="402">
        <f t="shared" si="43"/>
        <v>0</v>
      </c>
    </row>
    <row r="566" spans="1:7" s="160" customFormat="1" ht="24" thickBot="1" x14ac:dyDescent="0.4">
      <c r="A566" s="398"/>
      <c r="B566" s="399"/>
      <c r="C566" s="404" t="s">
        <v>760</v>
      </c>
      <c r="D566" s="409"/>
      <c r="E566" s="401"/>
      <c r="F566" s="411"/>
      <c r="G566" s="405">
        <f>SUM(G538:G565)</f>
        <v>0</v>
      </c>
    </row>
    <row r="567" spans="1:7" s="160" customFormat="1" x14ac:dyDescent="0.35">
      <c r="A567" s="398"/>
      <c r="B567" s="399"/>
      <c r="C567" s="400"/>
      <c r="D567" s="409"/>
      <c r="E567" s="401"/>
      <c r="F567" s="411"/>
      <c r="G567" s="402">
        <f t="shared" si="43"/>
        <v>0</v>
      </c>
    </row>
    <row r="568" spans="1:7" s="160" customFormat="1" x14ac:dyDescent="0.35">
      <c r="A568" s="398"/>
      <c r="B568" s="399"/>
      <c r="C568" s="400"/>
      <c r="D568" s="409"/>
      <c r="E568" s="401"/>
      <c r="F568" s="411"/>
      <c r="G568" s="402">
        <f t="shared" si="43"/>
        <v>0</v>
      </c>
    </row>
    <row r="569" spans="1:7" s="160" customFormat="1" x14ac:dyDescent="0.35">
      <c r="A569" s="398"/>
      <c r="B569" s="399"/>
      <c r="C569" s="400"/>
      <c r="D569" s="409"/>
      <c r="E569" s="401"/>
      <c r="F569" s="411"/>
      <c r="G569" s="402">
        <f t="shared" si="43"/>
        <v>0</v>
      </c>
    </row>
    <row r="570" spans="1:7" s="160" customFormat="1" x14ac:dyDescent="0.35">
      <c r="A570" s="398"/>
      <c r="B570" s="399"/>
      <c r="C570" s="400"/>
      <c r="D570" s="409"/>
      <c r="E570" s="401"/>
      <c r="F570" s="411"/>
      <c r="G570" s="402"/>
    </row>
    <row r="571" spans="1:7" s="160" customFormat="1" x14ac:dyDescent="0.35">
      <c r="A571" s="398"/>
      <c r="B571" s="399"/>
      <c r="C571" s="400"/>
      <c r="D571" s="409"/>
      <c r="E571" s="401"/>
      <c r="F571" s="411"/>
      <c r="G571" s="402"/>
    </row>
    <row r="572" spans="1:7" s="160" customFormat="1" ht="24" thickBot="1" x14ac:dyDescent="0.4">
      <c r="A572" s="398"/>
      <c r="B572" s="399"/>
      <c r="C572" s="400"/>
      <c r="D572" s="409"/>
      <c r="E572" s="401"/>
      <c r="F572" s="411"/>
      <c r="G572" s="402">
        <f t="shared" si="43"/>
        <v>0</v>
      </c>
    </row>
    <row r="573" spans="1:7" ht="18.75" customHeight="1" x14ac:dyDescent="0.35">
      <c r="A573" s="383"/>
      <c r="B573" s="384"/>
      <c r="C573" s="385"/>
      <c r="D573" s="386"/>
      <c r="E573" s="387"/>
      <c r="F573" s="410"/>
      <c r="G573" s="387"/>
    </row>
    <row r="574" spans="1:7" s="160" customFormat="1" x14ac:dyDescent="0.35">
      <c r="A574" s="388"/>
      <c r="B574" s="389"/>
      <c r="C574" s="390"/>
      <c r="D574" s="391"/>
      <c r="E574" s="391"/>
      <c r="F574" s="393" t="s">
        <v>2</v>
      </c>
      <c r="G574" s="393"/>
    </row>
    <row r="575" spans="1:7" s="160" customFormat="1" ht="24" thickBot="1" x14ac:dyDescent="0.4">
      <c r="A575" s="394"/>
      <c r="B575" s="395"/>
      <c r="C575" s="396" t="s">
        <v>753</v>
      </c>
      <c r="D575" s="397" t="s">
        <v>3</v>
      </c>
      <c r="E575" s="397" t="s">
        <v>1</v>
      </c>
      <c r="F575" s="397" t="s">
        <v>4</v>
      </c>
      <c r="G575" s="397" t="s">
        <v>5</v>
      </c>
    </row>
    <row r="576" spans="1:7" s="160" customFormat="1" ht="18" customHeight="1" x14ac:dyDescent="0.35">
      <c r="A576" s="398"/>
      <c r="B576" s="399"/>
      <c r="C576" s="400"/>
      <c r="D576" s="409"/>
      <c r="E576" s="401"/>
      <c r="F576" s="411"/>
      <c r="G576" s="402">
        <f t="shared" ref="G576:G577" si="45">ROUND(D576*F576,2)</f>
        <v>0</v>
      </c>
    </row>
    <row r="577" spans="1:7" s="160" customFormat="1" x14ac:dyDescent="0.35">
      <c r="A577" s="398"/>
      <c r="B577" s="399"/>
      <c r="C577" s="412" t="s">
        <v>863</v>
      </c>
      <c r="D577" s="409"/>
      <c r="E577" s="401"/>
      <c r="F577" s="411"/>
      <c r="G577" s="402">
        <f t="shared" si="45"/>
        <v>0</v>
      </c>
    </row>
    <row r="578" spans="1:7" s="160" customFormat="1" x14ac:dyDescent="0.35">
      <c r="A578" s="398"/>
      <c r="B578" s="399"/>
      <c r="C578" s="400"/>
      <c r="D578" s="409"/>
      <c r="E578" s="401"/>
      <c r="F578" s="411"/>
      <c r="G578" s="402">
        <f t="shared" si="43"/>
        <v>0</v>
      </c>
    </row>
    <row r="579" spans="1:7" s="160" customFormat="1" ht="46.5" x14ac:dyDescent="0.35">
      <c r="A579" s="398"/>
      <c r="B579" s="399"/>
      <c r="C579" s="400" t="s">
        <v>899</v>
      </c>
      <c r="D579" s="409">
        <v>6</v>
      </c>
      <c r="E579" s="401" t="s">
        <v>761</v>
      </c>
      <c r="F579" s="411"/>
      <c r="G579" s="402">
        <f t="shared" ref="G579:G601" si="46">D579*F579</f>
        <v>0</v>
      </c>
    </row>
    <row r="580" spans="1:7" s="160" customFormat="1" x14ac:dyDescent="0.35">
      <c r="A580" s="398"/>
      <c r="B580" s="399"/>
      <c r="C580" s="400"/>
      <c r="D580" s="409"/>
      <c r="E580" s="401"/>
      <c r="F580" s="411"/>
      <c r="G580" s="402">
        <f t="shared" si="46"/>
        <v>0</v>
      </c>
    </row>
    <row r="581" spans="1:7" s="160" customFormat="1" ht="46.5" x14ac:dyDescent="0.35">
      <c r="A581" s="398"/>
      <c r="B581" s="399"/>
      <c r="C581" s="400" t="s">
        <v>900</v>
      </c>
      <c r="D581" s="409">
        <v>6</v>
      </c>
      <c r="E581" s="401" t="s">
        <v>761</v>
      </c>
      <c r="F581" s="411"/>
      <c r="G581" s="402">
        <f t="shared" si="46"/>
        <v>0</v>
      </c>
    </row>
    <row r="582" spans="1:7" s="160" customFormat="1" x14ac:dyDescent="0.35">
      <c r="A582" s="398"/>
      <c r="B582" s="399"/>
      <c r="C582" s="400"/>
      <c r="D582" s="409"/>
      <c r="E582" s="401"/>
      <c r="F582" s="411"/>
      <c r="G582" s="402">
        <f t="shared" si="46"/>
        <v>0</v>
      </c>
    </row>
    <row r="583" spans="1:7" s="160" customFormat="1" ht="46.5" x14ac:dyDescent="0.35">
      <c r="A583" s="398"/>
      <c r="B583" s="399"/>
      <c r="C583" s="400" t="s">
        <v>865</v>
      </c>
      <c r="D583" s="409">
        <v>6</v>
      </c>
      <c r="E583" s="401" t="s">
        <v>761</v>
      </c>
      <c r="F583" s="411"/>
      <c r="G583" s="402">
        <f t="shared" si="46"/>
        <v>0</v>
      </c>
    </row>
    <row r="584" spans="1:7" s="160" customFormat="1" x14ac:dyDescent="0.35">
      <c r="A584" s="398"/>
      <c r="B584" s="399"/>
      <c r="C584" s="400"/>
      <c r="D584" s="409"/>
      <c r="E584" s="401"/>
      <c r="F584" s="411"/>
      <c r="G584" s="402">
        <f t="shared" si="46"/>
        <v>0</v>
      </c>
    </row>
    <row r="585" spans="1:7" s="160" customFormat="1" ht="46.5" x14ac:dyDescent="0.35">
      <c r="A585" s="398"/>
      <c r="B585" s="399"/>
      <c r="C585" s="400" t="s">
        <v>866</v>
      </c>
      <c r="D585" s="409">
        <v>18</v>
      </c>
      <c r="E585" s="401" t="s">
        <v>761</v>
      </c>
      <c r="F585" s="411"/>
      <c r="G585" s="402">
        <f t="shared" si="46"/>
        <v>0</v>
      </c>
    </row>
    <row r="586" spans="1:7" s="160" customFormat="1" x14ac:dyDescent="0.35">
      <c r="A586" s="398"/>
      <c r="B586" s="399"/>
      <c r="C586" s="400"/>
      <c r="D586" s="409"/>
      <c r="E586" s="401"/>
      <c r="F586" s="411"/>
      <c r="G586" s="402">
        <f t="shared" si="46"/>
        <v>0</v>
      </c>
    </row>
    <row r="587" spans="1:7" s="160" customFormat="1" ht="46.5" x14ac:dyDescent="0.35">
      <c r="A587" s="398"/>
      <c r="B587" s="399"/>
      <c r="C587" s="400" t="s">
        <v>867</v>
      </c>
      <c r="D587" s="409">
        <v>12</v>
      </c>
      <c r="E587" s="401" t="s">
        <v>761</v>
      </c>
      <c r="F587" s="411"/>
      <c r="G587" s="402">
        <f t="shared" si="46"/>
        <v>0</v>
      </c>
    </row>
    <row r="588" spans="1:7" s="160" customFormat="1" x14ac:dyDescent="0.35">
      <c r="A588" s="398"/>
      <c r="B588" s="399"/>
      <c r="C588" s="400"/>
      <c r="D588" s="409"/>
      <c r="E588" s="401"/>
      <c r="F588" s="411"/>
      <c r="G588" s="402">
        <f t="shared" si="46"/>
        <v>0</v>
      </c>
    </row>
    <row r="589" spans="1:7" s="160" customFormat="1" x14ac:dyDescent="0.35">
      <c r="A589" s="398"/>
      <c r="B589" s="399"/>
      <c r="C589" s="400"/>
      <c r="D589" s="409"/>
      <c r="E589" s="401"/>
      <c r="F589" s="411"/>
      <c r="G589" s="402">
        <f t="shared" si="46"/>
        <v>0</v>
      </c>
    </row>
    <row r="590" spans="1:7" s="160" customFormat="1" x14ac:dyDescent="0.35">
      <c r="A590" s="398"/>
      <c r="B590" s="399"/>
      <c r="C590" s="400"/>
      <c r="D590" s="409"/>
      <c r="E590" s="401"/>
      <c r="F590" s="411"/>
      <c r="G590" s="402">
        <f t="shared" si="46"/>
        <v>0</v>
      </c>
    </row>
    <row r="591" spans="1:7" s="160" customFormat="1" x14ac:dyDescent="0.35">
      <c r="A591" s="398"/>
      <c r="B591" s="399"/>
      <c r="C591" s="400"/>
      <c r="D591" s="409"/>
      <c r="E591" s="401"/>
      <c r="F591" s="411"/>
      <c r="G591" s="402">
        <f t="shared" si="46"/>
        <v>0</v>
      </c>
    </row>
    <row r="592" spans="1:7" s="160" customFormat="1" x14ac:dyDescent="0.35">
      <c r="A592" s="398"/>
      <c r="B592" s="399"/>
      <c r="C592" s="400"/>
      <c r="D592" s="409"/>
      <c r="E592" s="401"/>
      <c r="F592" s="411"/>
      <c r="G592" s="402">
        <f t="shared" si="46"/>
        <v>0</v>
      </c>
    </row>
    <row r="593" spans="1:7" s="160" customFormat="1" x14ac:dyDescent="0.35">
      <c r="A593" s="398"/>
      <c r="B593" s="399"/>
      <c r="C593" s="400"/>
      <c r="D593" s="409"/>
      <c r="E593" s="401"/>
      <c r="F593" s="411"/>
      <c r="G593" s="402">
        <f t="shared" si="46"/>
        <v>0</v>
      </c>
    </row>
    <row r="594" spans="1:7" s="160" customFormat="1" x14ac:dyDescent="0.35">
      <c r="A594" s="398"/>
      <c r="B594" s="399"/>
      <c r="C594" s="400" t="s">
        <v>830</v>
      </c>
      <c r="D594" s="409">
        <v>1</v>
      </c>
      <c r="E594" s="401" t="s">
        <v>819</v>
      </c>
      <c r="F594" s="411"/>
      <c r="G594" s="402">
        <f t="shared" si="46"/>
        <v>0</v>
      </c>
    </row>
    <row r="595" spans="1:7" s="160" customFormat="1" x14ac:dyDescent="0.35">
      <c r="A595" s="398"/>
      <c r="B595" s="399"/>
      <c r="C595" s="400"/>
      <c r="D595" s="409"/>
      <c r="E595" s="401"/>
      <c r="F595" s="411"/>
      <c r="G595" s="402">
        <f t="shared" si="46"/>
        <v>0</v>
      </c>
    </row>
    <row r="596" spans="1:7" s="160" customFormat="1" x14ac:dyDescent="0.35">
      <c r="A596" s="398"/>
      <c r="B596" s="399"/>
      <c r="C596" s="400"/>
      <c r="D596" s="409"/>
      <c r="E596" s="401"/>
      <c r="F596" s="411"/>
      <c r="G596" s="402">
        <f t="shared" si="46"/>
        <v>0</v>
      </c>
    </row>
    <row r="597" spans="1:7" s="160" customFormat="1" x14ac:dyDescent="0.35">
      <c r="A597" s="398"/>
      <c r="B597" s="399"/>
      <c r="C597" s="400"/>
      <c r="D597" s="409"/>
      <c r="E597" s="401"/>
      <c r="F597" s="411"/>
      <c r="G597" s="402">
        <f t="shared" si="46"/>
        <v>0</v>
      </c>
    </row>
    <row r="598" spans="1:7" s="160" customFormat="1" x14ac:dyDescent="0.35">
      <c r="A598" s="398"/>
      <c r="B598" s="399"/>
      <c r="C598" s="400"/>
      <c r="D598" s="409"/>
      <c r="E598" s="401"/>
      <c r="F598" s="411"/>
      <c r="G598" s="402">
        <f t="shared" si="46"/>
        <v>0</v>
      </c>
    </row>
    <row r="599" spans="1:7" s="160" customFormat="1" x14ac:dyDescent="0.35">
      <c r="A599" s="398"/>
      <c r="B599" s="399"/>
      <c r="C599" s="400"/>
      <c r="D599" s="409"/>
      <c r="E599" s="401"/>
      <c r="F599" s="411"/>
      <c r="G599" s="402">
        <f t="shared" si="46"/>
        <v>0</v>
      </c>
    </row>
    <row r="600" spans="1:7" s="160" customFormat="1" x14ac:dyDescent="0.35">
      <c r="A600" s="398"/>
      <c r="B600" s="399"/>
      <c r="C600" s="400"/>
      <c r="D600" s="409"/>
      <c r="E600" s="401"/>
      <c r="F600" s="411"/>
      <c r="G600" s="402">
        <f t="shared" si="46"/>
        <v>0</v>
      </c>
    </row>
    <row r="601" spans="1:7" s="160" customFormat="1" x14ac:dyDescent="0.35">
      <c r="A601" s="398"/>
      <c r="B601" s="399"/>
      <c r="C601" s="400"/>
      <c r="D601" s="409"/>
      <c r="E601" s="401"/>
      <c r="F601" s="411"/>
      <c r="G601" s="402">
        <f t="shared" si="46"/>
        <v>0</v>
      </c>
    </row>
    <row r="602" spans="1:7" s="160" customFormat="1" x14ac:dyDescent="0.35">
      <c r="A602" s="398"/>
      <c r="B602" s="399"/>
      <c r="C602" s="400"/>
      <c r="D602" s="409"/>
      <c r="E602" s="401"/>
      <c r="F602" s="411"/>
      <c r="G602" s="402">
        <f t="shared" ref="G602:G619" si="47">ROUND(D602*F602,2)</f>
        <v>0</v>
      </c>
    </row>
    <row r="603" spans="1:7" s="160" customFormat="1" x14ac:dyDescent="0.35">
      <c r="A603" s="398"/>
      <c r="B603" s="399"/>
      <c r="C603" s="400"/>
      <c r="D603" s="409"/>
      <c r="E603" s="401"/>
      <c r="F603" s="411"/>
      <c r="G603" s="402">
        <f t="shared" si="47"/>
        <v>0</v>
      </c>
    </row>
    <row r="604" spans="1:7" s="160" customFormat="1" x14ac:dyDescent="0.35">
      <c r="A604" s="398"/>
      <c r="B604" s="399"/>
      <c r="C604" s="400"/>
      <c r="D604" s="409"/>
      <c r="E604" s="401"/>
      <c r="F604" s="411"/>
      <c r="G604" s="402">
        <f t="shared" si="47"/>
        <v>0</v>
      </c>
    </row>
    <row r="605" spans="1:7" s="160" customFormat="1" x14ac:dyDescent="0.35">
      <c r="A605" s="398"/>
      <c r="B605" s="399"/>
      <c r="C605" s="400"/>
      <c r="D605" s="409"/>
      <c r="E605" s="401"/>
      <c r="F605" s="411"/>
      <c r="G605" s="402">
        <f t="shared" si="47"/>
        <v>0</v>
      </c>
    </row>
    <row r="606" spans="1:7" s="160" customFormat="1" x14ac:dyDescent="0.35">
      <c r="A606" s="398"/>
      <c r="B606" s="399"/>
      <c r="C606" s="400"/>
      <c r="D606" s="409"/>
      <c r="E606" s="401"/>
      <c r="F606" s="411"/>
      <c r="G606" s="402">
        <f t="shared" si="47"/>
        <v>0</v>
      </c>
    </row>
    <row r="607" spans="1:7" s="160" customFormat="1" x14ac:dyDescent="0.35">
      <c r="A607" s="398"/>
      <c r="B607" s="399"/>
      <c r="C607" s="400"/>
      <c r="D607" s="409"/>
      <c r="E607" s="401"/>
      <c r="F607" s="411"/>
      <c r="G607" s="402">
        <f t="shared" si="47"/>
        <v>0</v>
      </c>
    </row>
    <row r="608" spans="1:7" s="160" customFormat="1" x14ac:dyDescent="0.35">
      <c r="A608" s="398"/>
      <c r="B608" s="399"/>
      <c r="C608" s="400"/>
      <c r="D608" s="409"/>
      <c r="E608" s="401"/>
      <c r="F608" s="411"/>
      <c r="G608" s="402">
        <f t="shared" si="47"/>
        <v>0</v>
      </c>
    </row>
    <row r="609" spans="1:7" s="160" customFormat="1" x14ac:dyDescent="0.35">
      <c r="A609" s="398"/>
      <c r="B609" s="399"/>
      <c r="C609" s="400"/>
      <c r="D609" s="409"/>
      <c r="E609" s="401"/>
      <c r="F609" s="411"/>
      <c r="G609" s="402">
        <f t="shared" si="47"/>
        <v>0</v>
      </c>
    </row>
    <row r="610" spans="1:7" s="160" customFormat="1" x14ac:dyDescent="0.35">
      <c r="A610" s="398"/>
      <c r="B610" s="399"/>
      <c r="C610" s="400"/>
      <c r="D610" s="409"/>
      <c r="E610" s="401"/>
      <c r="F610" s="411"/>
      <c r="G610" s="402">
        <f t="shared" si="47"/>
        <v>0</v>
      </c>
    </row>
    <row r="611" spans="1:7" s="160" customFormat="1" ht="24" thickBot="1" x14ac:dyDescent="0.4">
      <c r="A611" s="398"/>
      <c r="B611" s="399"/>
      <c r="C611" s="400"/>
      <c r="D611" s="409"/>
      <c r="E611" s="401"/>
      <c r="F611" s="411"/>
      <c r="G611" s="402">
        <f t="shared" si="47"/>
        <v>0</v>
      </c>
    </row>
    <row r="612" spans="1:7" s="160" customFormat="1" ht="24" thickBot="1" x14ac:dyDescent="0.4">
      <c r="A612" s="398"/>
      <c r="B612" s="399"/>
      <c r="C612" s="404" t="s">
        <v>760</v>
      </c>
      <c r="D612" s="409"/>
      <c r="E612" s="401"/>
      <c r="F612" s="411"/>
      <c r="G612" s="405">
        <f>SUM(G577:G611)</f>
        <v>0</v>
      </c>
    </row>
    <row r="613" spans="1:7" s="160" customFormat="1" x14ac:dyDescent="0.35">
      <c r="A613" s="398"/>
      <c r="B613" s="399"/>
      <c r="C613" s="400"/>
      <c r="D613" s="409"/>
      <c r="E613" s="401"/>
      <c r="F613" s="411"/>
      <c r="G613" s="402">
        <f t="shared" si="47"/>
        <v>0</v>
      </c>
    </row>
    <row r="614" spans="1:7" s="160" customFormat="1" x14ac:dyDescent="0.35">
      <c r="A614" s="398"/>
      <c r="B614" s="399"/>
      <c r="C614" s="400"/>
      <c r="D614" s="409"/>
      <c r="E614" s="401"/>
      <c r="F614" s="411"/>
      <c r="G614" s="402">
        <f t="shared" si="47"/>
        <v>0</v>
      </c>
    </row>
    <row r="615" spans="1:7" s="160" customFormat="1" x14ac:dyDescent="0.35">
      <c r="A615" s="398"/>
      <c r="B615" s="399"/>
      <c r="C615" s="400"/>
      <c r="D615" s="409"/>
      <c r="E615" s="401"/>
      <c r="F615" s="411"/>
      <c r="G615" s="402">
        <f t="shared" si="47"/>
        <v>0</v>
      </c>
    </row>
    <row r="616" spans="1:7" s="160" customFormat="1" x14ac:dyDescent="0.35">
      <c r="A616" s="398"/>
      <c r="B616" s="399"/>
      <c r="C616" s="400"/>
      <c r="D616" s="409"/>
      <c r="E616" s="401"/>
      <c r="F616" s="411"/>
      <c r="G616" s="402">
        <f t="shared" si="47"/>
        <v>0</v>
      </c>
    </row>
    <row r="617" spans="1:7" s="160" customFormat="1" x14ac:dyDescent="0.35">
      <c r="A617" s="398"/>
      <c r="B617" s="399"/>
      <c r="C617" s="400"/>
      <c r="D617" s="409"/>
      <c r="E617" s="401"/>
      <c r="F617" s="411"/>
      <c r="G617" s="402">
        <f t="shared" si="47"/>
        <v>0</v>
      </c>
    </row>
    <row r="618" spans="1:7" s="160" customFormat="1" x14ac:dyDescent="0.35">
      <c r="A618" s="398"/>
      <c r="B618" s="399"/>
      <c r="C618" s="400"/>
      <c r="D618" s="409"/>
      <c r="E618" s="401"/>
      <c r="F618" s="411"/>
      <c r="G618" s="402">
        <f t="shared" si="47"/>
        <v>0</v>
      </c>
    </row>
    <row r="619" spans="1:7" s="160" customFormat="1" ht="24" thickBot="1" x14ac:dyDescent="0.4">
      <c r="A619" s="398"/>
      <c r="B619" s="399"/>
      <c r="C619" s="400"/>
      <c r="D619" s="409"/>
      <c r="E619" s="401"/>
      <c r="F619" s="411"/>
      <c r="G619" s="402">
        <f t="shared" si="47"/>
        <v>0</v>
      </c>
    </row>
    <row r="620" spans="1:7" ht="18.75" customHeight="1" x14ac:dyDescent="0.35">
      <c r="A620" s="383"/>
      <c r="B620" s="384"/>
      <c r="C620" s="385"/>
      <c r="D620" s="386"/>
      <c r="E620" s="387"/>
      <c r="F620" s="410"/>
      <c r="G620" s="387"/>
    </row>
    <row r="621" spans="1:7" s="160" customFormat="1" x14ac:dyDescent="0.35">
      <c r="A621" s="388"/>
      <c r="B621" s="389"/>
      <c r="C621" s="390"/>
      <c r="D621" s="391"/>
      <c r="E621" s="391"/>
      <c r="F621" s="393" t="s">
        <v>2</v>
      </c>
      <c r="G621" s="393"/>
    </row>
    <row r="622" spans="1:7" s="160" customFormat="1" ht="24" thickBot="1" x14ac:dyDescent="0.4">
      <c r="A622" s="394"/>
      <c r="B622" s="395"/>
      <c r="C622" s="396" t="s">
        <v>753</v>
      </c>
      <c r="D622" s="397" t="s">
        <v>3</v>
      </c>
      <c r="E622" s="397" t="s">
        <v>1</v>
      </c>
      <c r="F622" s="397" t="s">
        <v>4</v>
      </c>
      <c r="G622" s="397" t="s">
        <v>5</v>
      </c>
    </row>
    <row r="623" spans="1:7" s="160" customFormat="1" ht="18" customHeight="1" x14ac:dyDescent="0.35">
      <c r="A623" s="398"/>
      <c r="B623" s="399"/>
      <c r="C623" s="400"/>
      <c r="D623" s="409"/>
      <c r="E623" s="401"/>
      <c r="F623" s="411"/>
      <c r="G623" s="402">
        <f t="shared" ref="G623:G624" si="48">ROUND(D623*F623,2)</f>
        <v>0</v>
      </c>
    </row>
    <row r="624" spans="1:7" s="160" customFormat="1" x14ac:dyDescent="0.35">
      <c r="A624" s="398"/>
      <c r="B624" s="399"/>
      <c r="C624" s="412" t="s">
        <v>869</v>
      </c>
      <c r="D624" s="409"/>
      <c r="E624" s="401"/>
      <c r="F624" s="411"/>
      <c r="G624" s="402">
        <f t="shared" si="48"/>
        <v>0</v>
      </c>
    </row>
    <row r="625" spans="1:7" s="160" customFormat="1" ht="19.5" customHeight="1" x14ac:dyDescent="0.35">
      <c r="A625" s="398"/>
      <c r="B625" s="399"/>
      <c r="C625" s="400"/>
      <c r="D625" s="409"/>
      <c r="E625" s="401"/>
      <c r="F625" s="411"/>
      <c r="G625" s="402">
        <f t="shared" ref="G625:G652" si="49">D625*F625</f>
        <v>0</v>
      </c>
    </row>
    <row r="626" spans="1:7" s="160" customFormat="1" ht="46.5" x14ac:dyDescent="0.35">
      <c r="A626" s="398"/>
      <c r="B626" s="399"/>
      <c r="C626" s="400" t="s">
        <v>871</v>
      </c>
      <c r="D626" s="409">
        <v>6</v>
      </c>
      <c r="E626" s="401" t="s">
        <v>761</v>
      </c>
      <c r="F626" s="411"/>
      <c r="G626" s="402">
        <f t="shared" si="49"/>
        <v>0</v>
      </c>
    </row>
    <row r="627" spans="1:7" s="160" customFormat="1" ht="17.25" customHeight="1" x14ac:dyDescent="0.35">
      <c r="A627" s="398"/>
      <c r="B627" s="399"/>
      <c r="C627" s="400"/>
      <c r="D627" s="409"/>
      <c r="E627" s="401"/>
      <c r="F627" s="411"/>
      <c r="G627" s="402">
        <f t="shared" si="49"/>
        <v>0</v>
      </c>
    </row>
    <row r="628" spans="1:7" s="160" customFormat="1" ht="46.5" x14ac:dyDescent="0.35">
      <c r="A628" s="398"/>
      <c r="B628" s="399"/>
      <c r="C628" s="400" t="s">
        <v>901</v>
      </c>
      <c r="D628" s="409">
        <v>6</v>
      </c>
      <c r="E628" s="401" t="s">
        <v>761</v>
      </c>
      <c r="F628" s="411"/>
      <c r="G628" s="402">
        <f t="shared" si="49"/>
        <v>0</v>
      </c>
    </row>
    <row r="629" spans="1:7" s="160" customFormat="1" ht="17.25" customHeight="1" x14ac:dyDescent="0.35">
      <c r="A629" s="398"/>
      <c r="B629" s="399"/>
      <c r="C629" s="400"/>
      <c r="D629" s="409"/>
      <c r="E629" s="401"/>
      <c r="F629" s="411"/>
      <c r="G629" s="402">
        <f t="shared" si="49"/>
        <v>0</v>
      </c>
    </row>
    <row r="630" spans="1:7" s="160" customFormat="1" ht="46.5" x14ac:dyDescent="0.35">
      <c r="A630" s="398"/>
      <c r="B630" s="399"/>
      <c r="C630" s="400" t="s">
        <v>874</v>
      </c>
      <c r="D630" s="409">
        <v>6</v>
      </c>
      <c r="E630" s="401" t="s">
        <v>761</v>
      </c>
      <c r="F630" s="411"/>
      <c r="G630" s="402">
        <f t="shared" si="49"/>
        <v>0</v>
      </c>
    </row>
    <row r="631" spans="1:7" s="160" customFormat="1" ht="17.25" customHeight="1" x14ac:dyDescent="0.35">
      <c r="A631" s="398"/>
      <c r="B631" s="399"/>
      <c r="C631" s="400"/>
      <c r="D631" s="409"/>
      <c r="E631" s="401"/>
      <c r="F631" s="411"/>
      <c r="G631" s="402">
        <f t="shared" si="49"/>
        <v>0</v>
      </c>
    </row>
    <row r="632" spans="1:7" s="160" customFormat="1" ht="46.5" x14ac:dyDescent="0.35">
      <c r="A632" s="398"/>
      <c r="B632" s="399"/>
      <c r="C632" s="400" t="s">
        <v>873</v>
      </c>
      <c r="D632" s="409">
        <v>6</v>
      </c>
      <c r="E632" s="401" t="s">
        <v>761</v>
      </c>
      <c r="F632" s="411"/>
      <c r="G632" s="402">
        <f t="shared" si="49"/>
        <v>0</v>
      </c>
    </row>
    <row r="633" spans="1:7" s="160" customFormat="1" ht="15.75" customHeight="1" x14ac:dyDescent="0.35">
      <c r="A633" s="398"/>
      <c r="B633" s="399"/>
      <c r="C633" s="400"/>
      <c r="D633" s="409"/>
      <c r="E633" s="401"/>
      <c r="F633" s="411"/>
      <c r="G633" s="402">
        <f t="shared" si="49"/>
        <v>0</v>
      </c>
    </row>
    <row r="634" spans="1:7" s="160" customFormat="1" ht="46.5" x14ac:dyDescent="0.35">
      <c r="A634" s="398"/>
      <c r="B634" s="399"/>
      <c r="C634" s="400" t="s">
        <v>875</v>
      </c>
      <c r="D634" s="409">
        <v>6</v>
      </c>
      <c r="E634" s="401" t="s">
        <v>761</v>
      </c>
      <c r="F634" s="411"/>
      <c r="G634" s="402">
        <f t="shared" si="49"/>
        <v>0</v>
      </c>
    </row>
    <row r="635" spans="1:7" s="160" customFormat="1" ht="18" customHeight="1" x14ac:dyDescent="0.35">
      <c r="A635" s="398"/>
      <c r="B635" s="399"/>
      <c r="C635" s="400"/>
      <c r="D635" s="409"/>
      <c r="E635" s="401"/>
      <c r="F635" s="411"/>
      <c r="G635" s="402">
        <f t="shared" si="49"/>
        <v>0</v>
      </c>
    </row>
    <row r="636" spans="1:7" s="160" customFormat="1" ht="93" x14ac:dyDescent="0.35">
      <c r="A636" s="398"/>
      <c r="B636" s="399"/>
      <c r="C636" s="400" t="s">
        <v>876</v>
      </c>
      <c r="D636" s="409">
        <v>6</v>
      </c>
      <c r="E636" s="401" t="s">
        <v>761</v>
      </c>
      <c r="F636" s="411"/>
      <c r="G636" s="402">
        <f t="shared" si="49"/>
        <v>0</v>
      </c>
    </row>
    <row r="637" spans="1:7" s="160" customFormat="1" ht="17.25" customHeight="1" x14ac:dyDescent="0.35">
      <c r="A637" s="398"/>
      <c r="B637" s="399"/>
      <c r="C637" s="400"/>
      <c r="D637" s="409"/>
      <c r="E637" s="401"/>
      <c r="F637" s="411"/>
      <c r="G637" s="402">
        <f t="shared" si="49"/>
        <v>0</v>
      </c>
    </row>
    <row r="638" spans="1:7" s="160" customFormat="1" ht="46.5" x14ac:dyDescent="0.35">
      <c r="A638" s="398"/>
      <c r="B638" s="399"/>
      <c r="C638" s="400" t="s">
        <v>877</v>
      </c>
      <c r="D638" s="409">
        <v>6</v>
      </c>
      <c r="E638" s="401" t="s">
        <v>761</v>
      </c>
      <c r="F638" s="411"/>
      <c r="G638" s="402">
        <f t="shared" si="49"/>
        <v>0</v>
      </c>
    </row>
    <row r="639" spans="1:7" s="160" customFormat="1" ht="14.25" customHeight="1" x14ac:dyDescent="0.35">
      <c r="A639" s="398"/>
      <c r="B639" s="399"/>
      <c r="C639" s="400"/>
      <c r="D639" s="409"/>
      <c r="E639" s="401"/>
      <c r="F639" s="411"/>
      <c r="G639" s="402">
        <f t="shared" si="49"/>
        <v>0</v>
      </c>
    </row>
    <row r="640" spans="1:7" s="160" customFormat="1" x14ac:dyDescent="0.35">
      <c r="A640" s="398"/>
      <c r="B640" s="399"/>
      <c r="C640" s="400" t="s">
        <v>878</v>
      </c>
      <c r="D640" s="409">
        <v>6</v>
      </c>
      <c r="E640" s="401" t="s">
        <v>761</v>
      </c>
      <c r="F640" s="411"/>
      <c r="G640" s="402">
        <f t="shared" si="49"/>
        <v>0</v>
      </c>
    </row>
    <row r="641" spans="1:7" s="160" customFormat="1" ht="15" customHeight="1" x14ac:dyDescent="0.35">
      <c r="A641" s="398"/>
      <c r="B641" s="399"/>
      <c r="C641" s="400"/>
      <c r="D641" s="409"/>
      <c r="E641" s="401"/>
      <c r="F641" s="411"/>
      <c r="G641" s="402">
        <f t="shared" si="49"/>
        <v>0</v>
      </c>
    </row>
    <row r="642" spans="1:7" s="160" customFormat="1" ht="46.5" x14ac:dyDescent="0.35">
      <c r="A642" s="398"/>
      <c r="B642" s="399"/>
      <c r="C642" s="400" t="s">
        <v>879</v>
      </c>
      <c r="D642" s="409">
        <v>6</v>
      </c>
      <c r="E642" s="401" t="s">
        <v>761</v>
      </c>
      <c r="F642" s="411"/>
      <c r="G642" s="402">
        <f t="shared" si="49"/>
        <v>0</v>
      </c>
    </row>
    <row r="643" spans="1:7" s="160" customFormat="1" ht="16.5" customHeight="1" x14ac:dyDescent="0.35">
      <c r="A643" s="398"/>
      <c r="B643" s="399"/>
      <c r="C643" s="400"/>
      <c r="D643" s="409"/>
      <c r="E643" s="401"/>
      <c r="F643" s="411"/>
      <c r="G643" s="402">
        <f t="shared" si="49"/>
        <v>0</v>
      </c>
    </row>
    <row r="644" spans="1:7" s="160" customFormat="1" ht="46.5" x14ac:dyDescent="0.35">
      <c r="A644" s="398"/>
      <c r="B644" s="399"/>
      <c r="C644" s="400" t="s">
        <v>880</v>
      </c>
      <c r="D644" s="409">
        <v>6</v>
      </c>
      <c r="E644" s="401" t="s">
        <v>761</v>
      </c>
      <c r="F644" s="411"/>
      <c r="G644" s="402">
        <f t="shared" si="49"/>
        <v>0</v>
      </c>
    </row>
    <row r="645" spans="1:7" s="160" customFormat="1" x14ac:dyDescent="0.35">
      <c r="A645" s="398"/>
      <c r="B645" s="399"/>
      <c r="C645" s="400"/>
      <c r="D645" s="409"/>
      <c r="E645" s="401"/>
      <c r="F645" s="411"/>
      <c r="G645" s="402">
        <f t="shared" si="49"/>
        <v>0</v>
      </c>
    </row>
    <row r="646" spans="1:7" s="160" customFormat="1" ht="69.75" x14ac:dyDescent="0.35">
      <c r="A646" s="398"/>
      <c r="B646" s="399"/>
      <c r="C646" s="400" t="s">
        <v>881</v>
      </c>
      <c r="D646" s="409">
        <v>30</v>
      </c>
      <c r="E646" s="401" t="s">
        <v>761</v>
      </c>
      <c r="F646" s="411"/>
      <c r="G646" s="402">
        <f t="shared" si="49"/>
        <v>0</v>
      </c>
    </row>
    <row r="647" spans="1:7" s="160" customFormat="1" x14ac:dyDescent="0.35">
      <c r="A647" s="398"/>
      <c r="B647" s="399"/>
      <c r="C647" s="400"/>
      <c r="D647" s="409"/>
      <c r="E647" s="401"/>
      <c r="F647" s="411"/>
      <c r="G647" s="402">
        <f t="shared" si="49"/>
        <v>0</v>
      </c>
    </row>
    <row r="648" spans="1:7" s="160" customFormat="1" ht="93" x14ac:dyDescent="0.35">
      <c r="A648" s="398"/>
      <c r="B648" s="399"/>
      <c r="C648" s="400" t="s">
        <v>902</v>
      </c>
      <c r="D648" s="409">
        <v>6</v>
      </c>
      <c r="E648" s="401" t="s">
        <v>761</v>
      </c>
      <c r="F648" s="411"/>
      <c r="G648" s="402">
        <f t="shared" si="49"/>
        <v>0</v>
      </c>
    </row>
    <row r="649" spans="1:7" s="160" customFormat="1" ht="15" customHeight="1" x14ac:dyDescent="0.35">
      <c r="A649" s="398"/>
      <c r="B649" s="399"/>
      <c r="C649" s="400"/>
      <c r="D649" s="409"/>
      <c r="E649" s="401"/>
      <c r="F649" s="411"/>
      <c r="G649" s="402">
        <f t="shared" si="49"/>
        <v>0</v>
      </c>
    </row>
    <row r="650" spans="1:7" s="160" customFormat="1" x14ac:dyDescent="0.35">
      <c r="A650" s="398"/>
      <c r="B650" s="399"/>
      <c r="C650" s="400" t="s">
        <v>830</v>
      </c>
      <c r="D650" s="409">
        <v>1</v>
      </c>
      <c r="E650" s="401" t="s">
        <v>819</v>
      </c>
      <c r="F650" s="411"/>
      <c r="G650" s="402">
        <f t="shared" si="49"/>
        <v>0</v>
      </c>
    </row>
    <row r="651" spans="1:7" s="160" customFormat="1" ht="15.75" customHeight="1" x14ac:dyDescent="0.35">
      <c r="A651" s="398"/>
      <c r="B651" s="399"/>
      <c r="C651" s="400"/>
      <c r="D651" s="409"/>
      <c r="E651" s="401"/>
      <c r="F651" s="411"/>
      <c r="G651" s="402">
        <f t="shared" si="49"/>
        <v>0</v>
      </c>
    </row>
    <row r="652" spans="1:7" s="160" customFormat="1" ht="46.5" x14ac:dyDescent="0.35">
      <c r="A652" s="398"/>
      <c r="B652" s="399"/>
      <c r="C652" s="400" t="s">
        <v>870</v>
      </c>
      <c r="D652" s="409">
        <v>1</v>
      </c>
      <c r="E652" s="401" t="s">
        <v>756</v>
      </c>
      <c r="F652" s="411"/>
      <c r="G652" s="402">
        <f t="shared" si="49"/>
        <v>0</v>
      </c>
    </row>
    <row r="653" spans="1:7" s="160" customFormat="1" ht="24" thickBot="1" x14ac:dyDescent="0.4">
      <c r="A653" s="398"/>
      <c r="B653" s="399"/>
      <c r="C653" s="400"/>
      <c r="D653" s="409"/>
      <c r="E653" s="401"/>
      <c r="F653" s="411"/>
      <c r="G653" s="402"/>
    </row>
    <row r="654" spans="1:7" s="160" customFormat="1" ht="24" thickBot="1" x14ac:dyDescent="0.4">
      <c r="A654" s="398"/>
      <c r="B654" s="399"/>
      <c r="C654" s="404" t="s">
        <v>760</v>
      </c>
      <c r="D654" s="409"/>
      <c r="E654" s="401"/>
      <c r="F654" s="411"/>
      <c r="G654" s="405">
        <f>SUM(G625:G653)</f>
        <v>0</v>
      </c>
    </row>
    <row r="655" spans="1:7" ht="18.75" customHeight="1" x14ac:dyDescent="0.35">
      <c r="A655" s="383"/>
      <c r="B655" s="384"/>
      <c r="C655" s="385"/>
      <c r="D655" s="386"/>
      <c r="E655" s="387"/>
      <c r="F655" s="410"/>
      <c r="G655" s="387"/>
    </row>
    <row r="656" spans="1:7" s="160" customFormat="1" x14ac:dyDescent="0.35">
      <c r="A656" s="388"/>
      <c r="B656" s="389"/>
      <c r="C656" s="390"/>
      <c r="D656" s="391"/>
      <c r="E656" s="391"/>
      <c r="F656" s="393" t="s">
        <v>2</v>
      </c>
      <c r="G656" s="393"/>
    </row>
    <row r="657" spans="1:7" s="160" customFormat="1" ht="24" thickBot="1" x14ac:dyDescent="0.4">
      <c r="A657" s="394"/>
      <c r="B657" s="395"/>
      <c r="C657" s="396" t="s">
        <v>753</v>
      </c>
      <c r="D657" s="397" t="s">
        <v>3</v>
      </c>
      <c r="E657" s="397" t="s">
        <v>1</v>
      </c>
      <c r="F657" s="397" t="s">
        <v>4</v>
      </c>
      <c r="G657" s="397" t="s">
        <v>5</v>
      </c>
    </row>
    <row r="658" spans="1:7" s="160" customFormat="1" ht="18" customHeight="1" x14ac:dyDescent="0.35">
      <c r="A658" s="398"/>
      <c r="B658" s="399"/>
      <c r="C658" s="400"/>
      <c r="D658" s="409"/>
      <c r="E658" s="401"/>
      <c r="F658" s="411"/>
      <c r="G658" s="402">
        <f t="shared" ref="G658:G659" si="50">ROUND(D658*F658,2)</f>
        <v>0</v>
      </c>
    </row>
    <row r="659" spans="1:7" s="160" customFormat="1" x14ac:dyDescent="0.35">
      <c r="A659" s="398"/>
      <c r="B659" s="399"/>
      <c r="C659" s="412" t="s">
        <v>882</v>
      </c>
      <c r="D659" s="409"/>
      <c r="E659" s="401"/>
      <c r="F659" s="411"/>
      <c r="G659" s="402">
        <f t="shared" si="50"/>
        <v>0</v>
      </c>
    </row>
    <row r="660" spans="1:7" s="160" customFormat="1" x14ac:dyDescent="0.35">
      <c r="A660" s="398"/>
      <c r="B660" s="399"/>
      <c r="C660" s="404"/>
      <c r="D660" s="409"/>
      <c r="E660" s="401"/>
      <c r="F660" s="411"/>
      <c r="G660" s="402"/>
    </row>
    <row r="661" spans="1:7" s="160" customFormat="1" x14ac:dyDescent="0.35">
      <c r="A661" s="398"/>
      <c r="B661" s="399"/>
      <c r="C661" s="404" t="s">
        <v>904</v>
      </c>
      <c r="D661" s="409"/>
      <c r="E661" s="401"/>
      <c r="F661" s="411"/>
      <c r="G661" s="402">
        <f>G25</f>
        <v>0</v>
      </c>
    </row>
    <row r="662" spans="1:7" s="160" customFormat="1" x14ac:dyDescent="0.35">
      <c r="A662" s="398"/>
      <c r="B662" s="399"/>
      <c r="C662" s="404"/>
      <c r="D662" s="409"/>
      <c r="E662" s="401"/>
      <c r="F662" s="411"/>
      <c r="G662" s="402"/>
    </row>
    <row r="663" spans="1:7" s="160" customFormat="1" x14ac:dyDescent="0.35">
      <c r="A663" s="398"/>
      <c r="B663" s="399"/>
      <c r="C663" s="404" t="s">
        <v>905</v>
      </c>
      <c r="D663" s="409"/>
      <c r="E663" s="401"/>
      <c r="F663" s="411"/>
      <c r="G663" s="402">
        <f>G49</f>
        <v>0</v>
      </c>
    </row>
    <row r="664" spans="1:7" s="160" customFormat="1" x14ac:dyDescent="0.35">
      <c r="A664" s="398"/>
      <c r="B664" s="399"/>
      <c r="C664" s="404"/>
      <c r="D664" s="409"/>
      <c r="E664" s="401"/>
      <c r="F664" s="411"/>
      <c r="G664" s="402"/>
    </row>
    <row r="665" spans="1:7" s="160" customFormat="1" x14ac:dyDescent="0.35">
      <c r="A665" s="398"/>
      <c r="B665" s="399"/>
      <c r="C665" s="404" t="s">
        <v>906</v>
      </c>
      <c r="D665" s="409"/>
      <c r="E665" s="401"/>
      <c r="F665" s="411"/>
      <c r="G665" s="402">
        <f>G75</f>
        <v>0</v>
      </c>
    </row>
    <row r="666" spans="1:7" s="160" customFormat="1" x14ac:dyDescent="0.35">
      <c r="A666" s="398"/>
      <c r="B666" s="399"/>
      <c r="C666" s="404"/>
      <c r="D666" s="409"/>
      <c r="E666" s="401"/>
      <c r="F666" s="411"/>
      <c r="G666" s="402"/>
    </row>
    <row r="667" spans="1:7" s="160" customFormat="1" x14ac:dyDescent="0.35">
      <c r="A667" s="398"/>
      <c r="B667" s="399"/>
      <c r="C667" s="404" t="s">
        <v>907</v>
      </c>
      <c r="D667" s="409"/>
      <c r="E667" s="401"/>
      <c r="F667" s="411"/>
      <c r="G667" s="402">
        <f>G99</f>
        <v>0</v>
      </c>
    </row>
    <row r="668" spans="1:7" s="160" customFormat="1" x14ac:dyDescent="0.35">
      <c r="A668" s="398"/>
      <c r="B668" s="399"/>
      <c r="C668" s="404"/>
      <c r="D668" s="409"/>
      <c r="E668" s="401"/>
      <c r="F668" s="411"/>
      <c r="G668" s="402"/>
    </row>
    <row r="669" spans="1:7" s="160" customFormat="1" x14ac:dyDescent="0.35">
      <c r="A669" s="398"/>
      <c r="B669" s="399"/>
      <c r="C669" s="404" t="s">
        <v>908</v>
      </c>
      <c r="D669" s="409"/>
      <c r="E669" s="401"/>
      <c r="F669" s="411"/>
      <c r="G669" s="402">
        <f>G128</f>
        <v>0</v>
      </c>
    </row>
    <row r="670" spans="1:7" s="160" customFormat="1" x14ac:dyDescent="0.35">
      <c r="A670" s="398"/>
      <c r="B670" s="399"/>
      <c r="C670" s="404"/>
      <c r="D670" s="409"/>
      <c r="E670" s="401"/>
      <c r="F670" s="411"/>
      <c r="G670" s="402"/>
    </row>
    <row r="671" spans="1:7" s="160" customFormat="1" x14ac:dyDescent="0.35">
      <c r="A671" s="398"/>
      <c r="B671" s="399"/>
      <c r="C671" s="404" t="s">
        <v>909</v>
      </c>
      <c r="D671" s="409"/>
      <c r="E671" s="401"/>
      <c r="F671" s="411"/>
      <c r="G671" s="402">
        <f>G155</f>
        <v>0</v>
      </c>
    </row>
    <row r="672" spans="1:7" s="160" customFormat="1" x14ac:dyDescent="0.35">
      <c r="A672" s="398"/>
      <c r="B672" s="399"/>
      <c r="C672" s="404"/>
      <c r="D672" s="409"/>
      <c r="E672" s="401"/>
      <c r="F672" s="411"/>
      <c r="G672" s="402"/>
    </row>
    <row r="673" spans="1:7" s="160" customFormat="1" x14ac:dyDescent="0.35">
      <c r="A673" s="398"/>
      <c r="B673" s="399"/>
      <c r="C673" s="404" t="s">
        <v>910</v>
      </c>
      <c r="D673" s="409"/>
      <c r="E673" s="401"/>
      <c r="F673" s="411"/>
      <c r="G673" s="402">
        <f>G176</f>
        <v>0</v>
      </c>
    </row>
    <row r="674" spans="1:7" s="160" customFormat="1" x14ac:dyDescent="0.35">
      <c r="A674" s="398"/>
      <c r="B674" s="399"/>
      <c r="C674" s="404"/>
      <c r="D674" s="409"/>
      <c r="E674" s="401"/>
      <c r="F674" s="411"/>
      <c r="G674" s="402"/>
    </row>
    <row r="675" spans="1:7" s="160" customFormat="1" x14ac:dyDescent="0.35">
      <c r="A675" s="398"/>
      <c r="B675" s="399"/>
      <c r="C675" s="404" t="s">
        <v>911</v>
      </c>
      <c r="D675" s="409"/>
      <c r="E675" s="401"/>
      <c r="F675" s="411"/>
      <c r="G675" s="402">
        <f>G203</f>
        <v>0</v>
      </c>
    </row>
    <row r="676" spans="1:7" s="160" customFormat="1" x14ac:dyDescent="0.35">
      <c r="A676" s="398"/>
      <c r="B676" s="399"/>
      <c r="C676" s="404"/>
      <c r="D676" s="409"/>
      <c r="E676" s="401"/>
      <c r="F676" s="411"/>
      <c r="G676" s="402"/>
    </row>
    <row r="677" spans="1:7" s="160" customFormat="1" x14ac:dyDescent="0.35">
      <c r="A677" s="398"/>
      <c r="B677" s="399"/>
      <c r="C677" s="404" t="s">
        <v>912</v>
      </c>
      <c r="D677" s="409"/>
      <c r="E677" s="401"/>
      <c r="F677" s="411"/>
      <c r="G677" s="402">
        <f>G241</f>
        <v>0</v>
      </c>
    </row>
    <row r="678" spans="1:7" s="160" customFormat="1" x14ac:dyDescent="0.35">
      <c r="A678" s="398"/>
      <c r="B678" s="399"/>
      <c r="C678" s="404"/>
      <c r="D678" s="409"/>
      <c r="E678" s="401"/>
      <c r="F678" s="411"/>
      <c r="G678" s="402"/>
    </row>
    <row r="679" spans="1:7" s="160" customFormat="1" x14ac:dyDescent="0.35">
      <c r="A679" s="398"/>
      <c r="B679" s="399"/>
      <c r="C679" s="404" t="s">
        <v>913</v>
      </c>
      <c r="D679" s="409"/>
      <c r="E679" s="401"/>
      <c r="F679" s="411"/>
      <c r="G679" s="402">
        <f>G276</f>
        <v>0</v>
      </c>
    </row>
    <row r="680" spans="1:7" s="160" customFormat="1" x14ac:dyDescent="0.35">
      <c r="A680" s="398"/>
      <c r="B680" s="399"/>
      <c r="C680" s="404"/>
      <c r="D680" s="409"/>
      <c r="E680" s="401"/>
      <c r="F680" s="411"/>
      <c r="G680" s="402"/>
    </row>
    <row r="681" spans="1:7" s="160" customFormat="1" x14ac:dyDescent="0.35">
      <c r="A681" s="398"/>
      <c r="B681" s="399"/>
      <c r="C681" s="404" t="s">
        <v>914</v>
      </c>
      <c r="D681" s="409"/>
      <c r="E681" s="401"/>
      <c r="F681" s="411"/>
      <c r="G681" s="402">
        <f>G323</f>
        <v>0</v>
      </c>
    </row>
    <row r="682" spans="1:7" s="160" customFormat="1" x14ac:dyDescent="0.35">
      <c r="A682" s="398"/>
      <c r="B682" s="399"/>
      <c r="C682" s="404"/>
      <c r="D682" s="409"/>
      <c r="E682" s="401"/>
      <c r="F682" s="411"/>
      <c r="G682" s="402"/>
    </row>
    <row r="683" spans="1:7" s="160" customFormat="1" x14ac:dyDescent="0.35">
      <c r="A683" s="398"/>
      <c r="B683" s="399"/>
      <c r="C683" s="404" t="s">
        <v>915</v>
      </c>
      <c r="D683" s="409"/>
      <c r="E683" s="401"/>
      <c r="F683" s="411"/>
      <c r="G683" s="402">
        <f>G371</f>
        <v>0</v>
      </c>
    </row>
    <row r="684" spans="1:7" s="160" customFormat="1" x14ac:dyDescent="0.35">
      <c r="A684" s="398"/>
      <c r="B684" s="399"/>
      <c r="C684" s="404"/>
      <c r="D684" s="409"/>
      <c r="E684" s="401"/>
      <c r="F684" s="411"/>
      <c r="G684" s="402"/>
    </row>
    <row r="685" spans="1:7" s="160" customFormat="1" x14ac:dyDescent="0.35">
      <c r="A685" s="398"/>
      <c r="B685" s="399"/>
      <c r="C685" s="404" t="s">
        <v>916</v>
      </c>
      <c r="D685" s="409"/>
      <c r="E685" s="401"/>
      <c r="F685" s="411"/>
      <c r="G685" s="402">
        <f>G409</f>
        <v>0</v>
      </c>
    </row>
    <row r="686" spans="1:7" s="160" customFormat="1" x14ac:dyDescent="0.35">
      <c r="A686" s="398"/>
      <c r="B686" s="399"/>
      <c r="C686" s="404"/>
      <c r="D686" s="409"/>
      <c r="E686" s="401"/>
      <c r="F686" s="411"/>
      <c r="G686" s="402"/>
    </row>
    <row r="687" spans="1:7" s="160" customFormat="1" x14ac:dyDescent="0.35">
      <c r="A687" s="398"/>
      <c r="B687" s="399"/>
      <c r="C687" s="404" t="s">
        <v>917</v>
      </c>
      <c r="D687" s="409"/>
      <c r="E687" s="401"/>
      <c r="F687" s="411"/>
      <c r="G687" s="402">
        <f>G435</f>
        <v>0</v>
      </c>
    </row>
    <row r="688" spans="1:7" s="160" customFormat="1" x14ac:dyDescent="0.35">
      <c r="A688" s="398"/>
      <c r="B688" s="399"/>
      <c r="C688" s="404"/>
      <c r="D688" s="409"/>
      <c r="E688" s="401"/>
      <c r="F688" s="411"/>
      <c r="G688" s="402"/>
    </row>
    <row r="689" spans="1:7" s="160" customFormat="1" x14ac:dyDescent="0.35">
      <c r="A689" s="398"/>
      <c r="B689" s="399"/>
      <c r="C689" s="404" t="s">
        <v>918</v>
      </c>
      <c r="D689" s="409"/>
      <c r="E689" s="401"/>
      <c r="F689" s="411"/>
      <c r="G689" s="402">
        <f>G461</f>
        <v>0</v>
      </c>
    </row>
    <row r="690" spans="1:7" s="160" customFormat="1" x14ac:dyDescent="0.35">
      <c r="A690" s="398"/>
      <c r="B690" s="399"/>
      <c r="C690" s="404"/>
      <c r="D690" s="409"/>
      <c r="E690" s="401"/>
      <c r="F690" s="411"/>
      <c r="G690" s="402"/>
    </row>
    <row r="691" spans="1:7" s="160" customFormat="1" x14ac:dyDescent="0.35">
      <c r="A691" s="398"/>
      <c r="B691" s="399"/>
      <c r="C691" s="404" t="s">
        <v>919</v>
      </c>
      <c r="D691" s="409"/>
      <c r="E691" s="401"/>
      <c r="F691" s="411"/>
      <c r="G691" s="402">
        <f>G491</f>
        <v>0</v>
      </c>
    </row>
    <row r="692" spans="1:7" s="160" customFormat="1" x14ac:dyDescent="0.35">
      <c r="A692" s="398"/>
      <c r="B692" s="399"/>
      <c r="C692" s="404"/>
      <c r="D692" s="409"/>
      <c r="E692" s="401"/>
      <c r="F692" s="411"/>
      <c r="G692" s="402"/>
    </row>
    <row r="693" spans="1:7" s="160" customFormat="1" x14ac:dyDescent="0.35">
      <c r="A693" s="398"/>
      <c r="B693" s="399"/>
      <c r="C693" s="404" t="s">
        <v>920</v>
      </c>
      <c r="D693" s="409"/>
      <c r="E693" s="401"/>
      <c r="F693" s="411"/>
      <c r="G693" s="402">
        <f>G532</f>
        <v>0</v>
      </c>
    </row>
    <row r="694" spans="1:7" s="160" customFormat="1" x14ac:dyDescent="0.35">
      <c r="A694" s="398"/>
      <c r="B694" s="399"/>
      <c r="C694" s="404"/>
      <c r="D694" s="409"/>
      <c r="E694" s="401"/>
      <c r="F694" s="411"/>
      <c r="G694" s="402"/>
    </row>
    <row r="695" spans="1:7" s="160" customFormat="1" x14ac:dyDescent="0.35">
      <c r="A695" s="398"/>
      <c r="B695" s="399"/>
      <c r="C695" s="404" t="s">
        <v>921</v>
      </c>
      <c r="D695" s="409"/>
      <c r="E695" s="401"/>
      <c r="F695" s="411"/>
      <c r="G695" s="402">
        <f>G612</f>
        <v>0</v>
      </c>
    </row>
    <row r="696" spans="1:7" s="160" customFormat="1" x14ac:dyDescent="0.35">
      <c r="A696" s="398"/>
      <c r="B696" s="399"/>
      <c r="C696" s="404"/>
      <c r="D696" s="409"/>
      <c r="E696" s="401"/>
      <c r="F696" s="411"/>
      <c r="G696" s="402"/>
    </row>
    <row r="697" spans="1:7" s="160" customFormat="1" x14ac:dyDescent="0.35">
      <c r="A697" s="398"/>
      <c r="B697" s="399"/>
      <c r="C697" s="404" t="s">
        <v>922</v>
      </c>
      <c r="D697" s="409"/>
      <c r="E697" s="401"/>
      <c r="F697" s="411"/>
      <c r="G697" s="402">
        <f>G654</f>
        <v>0</v>
      </c>
    </row>
    <row r="698" spans="1:7" s="160" customFormat="1" ht="24" thickBot="1" x14ac:dyDescent="0.4">
      <c r="A698" s="398"/>
      <c r="B698" s="399"/>
      <c r="C698" s="404"/>
      <c r="D698" s="409"/>
      <c r="E698" s="401"/>
      <c r="F698" s="411"/>
      <c r="G698" s="402"/>
    </row>
    <row r="699" spans="1:7" s="160" customFormat="1" ht="24" thickBot="1" x14ac:dyDescent="0.4">
      <c r="A699" s="398"/>
      <c r="B699" s="399"/>
      <c r="C699" s="415" t="s">
        <v>923</v>
      </c>
      <c r="D699" s="409"/>
      <c r="E699" s="401"/>
      <c r="F699" s="411"/>
      <c r="G699" s="405">
        <f>SUM(G659:G698)</f>
        <v>0</v>
      </c>
    </row>
    <row r="700" spans="1:7" s="160" customFormat="1" x14ac:dyDescent="0.35">
      <c r="A700" s="398"/>
      <c r="B700" s="399"/>
      <c r="C700" s="404"/>
      <c r="D700" s="409"/>
      <c r="E700" s="401"/>
      <c r="F700" s="411"/>
      <c r="G700" s="402"/>
    </row>
    <row r="701" spans="1:7" s="160" customFormat="1" x14ac:dyDescent="0.35">
      <c r="A701" s="398"/>
      <c r="B701" s="399"/>
      <c r="C701" s="404"/>
      <c r="D701" s="409"/>
      <c r="E701" s="401"/>
      <c r="F701" s="411"/>
      <c r="G701" s="402"/>
    </row>
    <row r="704" spans="1:7" x14ac:dyDescent="0.35">
      <c r="C704" s="400"/>
    </row>
  </sheetData>
  <pageMargins left="0.70866141732283472" right="0.70866141732283472" top="0.74803149606299213" bottom="0.74803149606299213" header="0.31496062992125984" footer="0.31496062992125984"/>
  <pageSetup paperSize="9" scale="61" orientation="portrait" useFirstPageNumber="1" r:id="rId1"/>
  <headerFooter>
    <oddHeader xml:space="preserve">&amp;L&amp;UΠΑΣΥΔΥ PLATRES APARTMENTS  
ΚΑΤΕΔΑΦΙΣΕΙΣ-ΜΕΤΑΤΡΟΠΕΣ
&amp;R
&amp;"-,Bold"&amp;14BLOCK 1&amp;"-,Regular"&amp;11
</oddHeader>
    <oddFooter>&amp;R2/&amp;P</oddFooter>
  </headerFooter>
  <rowBreaks count="19" manualBreakCount="19">
    <brk id="26" max="16383" man="1"/>
    <brk id="50" max="16383" man="1"/>
    <brk id="76" max="16383" man="1"/>
    <brk id="102" max="16383" man="1"/>
    <brk id="130" max="16383" man="1"/>
    <brk id="157" max="16383" man="1"/>
    <brk id="178" max="16383" man="1"/>
    <brk id="204" max="16383" man="1"/>
    <brk id="242" max="16383" man="1"/>
    <brk id="279" max="16383" man="1"/>
    <brk id="330" max="16383" man="1"/>
    <brk id="378" max="16383" man="1"/>
    <brk id="410" max="16383" man="1"/>
    <brk id="440" max="16383" man="1"/>
    <brk id="461" max="16383" man="1"/>
    <brk id="504" max="16383" man="1"/>
    <brk id="532" max="16383" man="1"/>
    <brk id="619" max="16383" man="1"/>
    <brk id="6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2BF3-0D3A-4A71-9263-573940D79B84}">
  <sheetPr>
    <tabColor rgb="FFFFFF00"/>
  </sheetPr>
  <dimension ref="A1:G704"/>
  <sheetViews>
    <sheetView showZeros="0" view="pageBreakPreview" zoomScale="50" zoomScaleNormal="100" zoomScaleSheetLayoutView="50" workbookViewId="0">
      <selection activeCell="F339" sqref="F339"/>
    </sheetView>
  </sheetViews>
  <sheetFormatPr defaultColWidth="8.85546875" defaultRowHeight="23.25" x14ac:dyDescent="0.35"/>
  <cols>
    <col min="1" max="1" width="3.42578125" style="406" customWidth="1"/>
    <col min="2" max="2" width="0.85546875" style="407" customWidth="1"/>
    <col min="3" max="3" width="61.5703125" style="408" customWidth="1"/>
    <col min="4" max="4" width="17.140625" style="393" customWidth="1"/>
    <col min="5" max="5" width="14.85546875" style="392" customWidth="1"/>
    <col min="6" max="6" width="20.7109375" style="393" customWidth="1"/>
    <col min="7" max="7" width="19.140625" style="392" customWidth="1"/>
    <col min="8" max="8" width="4" style="158" customWidth="1"/>
    <col min="9" max="16384" width="8.85546875" style="158"/>
  </cols>
  <sheetData>
    <row r="1" spans="1:7" x14ac:dyDescent="0.35">
      <c r="A1" s="383"/>
      <c r="B1" s="384"/>
      <c r="C1" s="385"/>
      <c r="D1" s="386"/>
      <c r="E1" s="387"/>
      <c r="F1" s="410"/>
      <c r="G1" s="387"/>
    </row>
    <row r="2" spans="1:7" s="160" customFormat="1" x14ac:dyDescent="0.35">
      <c r="A2" s="388"/>
      <c r="B2" s="389"/>
      <c r="C2" s="390"/>
      <c r="D2" s="391"/>
      <c r="E2" s="391"/>
      <c r="F2" s="393" t="s">
        <v>2</v>
      </c>
      <c r="G2" s="393"/>
    </row>
    <row r="3" spans="1:7" s="160" customFormat="1" ht="24" thickBot="1" x14ac:dyDescent="0.4">
      <c r="A3" s="394"/>
      <c r="B3" s="395"/>
      <c r="C3" s="396" t="s">
        <v>753</v>
      </c>
      <c r="D3" s="397" t="s">
        <v>3</v>
      </c>
      <c r="E3" s="397" t="s">
        <v>1</v>
      </c>
      <c r="F3" s="397" t="s">
        <v>4</v>
      </c>
      <c r="G3" s="397" t="s">
        <v>5</v>
      </c>
    </row>
    <row r="4" spans="1:7" s="160" customFormat="1" ht="14.25" customHeight="1" x14ac:dyDescent="0.35">
      <c r="A4" s="398"/>
      <c r="B4" s="399"/>
      <c r="C4" s="400"/>
      <c r="D4" s="409"/>
      <c r="E4" s="401"/>
      <c r="F4" s="411"/>
      <c r="G4" s="402">
        <f>ROUND(D4*F4,2)</f>
        <v>0</v>
      </c>
    </row>
    <row r="5" spans="1:7" s="160" customFormat="1" ht="46.5" x14ac:dyDescent="0.35">
      <c r="A5" s="398"/>
      <c r="B5" s="399"/>
      <c r="C5" s="403" t="s">
        <v>783</v>
      </c>
      <c r="D5" s="409"/>
      <c r="E5" s="401"/>
      <c r="F5" s="411"/>
      <c r="G5" s="402">
        <f>ROUND(D5*F5,2)</f>
        <v>0</v>
      </c>
    </row>
    <row r="6" spans="1:7" s="160" customFormat="1" ht="15.75" customHeight="1" x14ac:dyDescent="0.35">
      <c r="A6" s="398"/>
      <c r="B6" s="399"/>
      <c r="C6" s="403"/>
      <c r="D6" s="409"/>
      <c r="E6" s="401"/>
      <c r="F6" s="411"/>
      <c r="G6" s="402"/>
    </row>
    <row r="7" spans="1:7" s="160" customFormat="1" ht="116.25" x14ac:dyDescent="0.35">
      <c r="A7" s="398"/>
      <c r="B7" s="399"/>
      <c r="C7" s="403" t="s">
        <v>785</v>
      </c>
      <c r="D7" s="409"/>
      <c r="E7" s="401"/>
      <c r="F7" s="411"/>
      <c r="G7" s="402"/>
    </row>
    <row r="8" spans="1:7" s="160" customFormat="1" ht="18.75" customHeight="1" x14ac:dyDescent="0.35">
      <c r="A8" s="398"/>
      <c r="B8" s="399"/>
      <c r="C8" s="400"/>
      <c r="D8" s="409"/>
      <c r="E8" s="401"/>
      <c r="F8" s="411"/>
      <c r="G8" s="402">
        <f>ROUND(D8*F8,2)</f>
        <v>0</v>
      </c>
    </row>
    <row r="9" spans="1:7" s="160" customFormat="1" ht="46.5" x14ac:dyDescent="0.35">
      <c r="A9" s="398"/>
      <c r="B9" s="399"/>
      <c r="C9" s="400" t="s">
        <v>767</v>
      </c>
      <c r="D9" s="409">
        <v>1</v>
      </c>
      <c r="E9" s="401" t="s">
        <v>756</v>
      </c>
      <c r="F9" s="411"/>
      <c r="G9" s="402">
        <f>D9*F9</f>
        <v>0</v>
      </c>
    </row>
    <row r="10" spans="1:7" s="160" customFormat="1" ht="18" customHeight="1" x14ac:dyDescent="0.35">
      <c r="A10" s="398"/>
      <c r="B10" s="399"/>
      <c r="C10" s="400"/>
      <c r="D10" s="409"/>
      <c r="E10" s="401"/>
      <c r="F10" s="411"/>
      <c r="G10" s="402">
        <f>ROUND(D10*F10,2)</f>
        <v>0</v>
      </c>
    </row>
    <row r="11" spans="1:7" s="160" customFormat="1" ht="81.75" customHeight="1" x14ac:dyDescent="0.35">
      <c r="A11" s="398"/>
      <c r="B11" s="399"/>
      <c r="C11" s="400" t="s">
        <v>768</v>
      </c>
      <c r="D11" s="409">
        <v>1</v>
      </c>
      <c r="E11" s="401" t="s">
        <v>756</v>
      </c>
      <c r="F11" s="411"/>
      <c r="G11" s="402">
        <f>D11*F11</f>
        <v>0</v>
      </c>
    </row>
    <row r="12" spans="1:7" s="160" customFormat="1" ht="14.25" customHeight="1" x14ac:dyDescent="0.35">
      <c r="A12" s="398"/>
      <c r="B12" s="399"/>
      <c r="C12" s="400"/>
      <c r="D12" s="409"/>
      <c r="E12" s="401"/>
      <c r="F12" s="411"/>
      <c r="G12" s="402">
        <f>ROUND(D12*F12,2)</f>
        <v>0</v>
      </c>
    </row>
    <row r="13" spans="1:7" s="160" customFormat="1" ht="139.5" x14ac:dyDescent="0.35">
      <c r="A13" s="398"/>
      <c r="B13" s="399"/>
      <c r="C13" s="400" t="s">
        <v>763</v>
      </c>
      <c r="D13" s="409">
        <v>72</v>
      </c>
      <c r="E13" s="401" t="s">
        <v>26</v>
      </c>
      <c r="F13" s="411"/>
      <c r="G13" s="402">
        <f>D13*F13</f>
        <v>0</v>
      </c>
    </row>
    <row r="14" spans="1:7" s="160" customFormat="1" ht="18.75" customHeight="1" x14ac:dyDescent="0.35">
      <c r="A14" s="398"/>
      <c r="B14" s="399"/>
      <c r="C14" s="400"/>
      <c r="D14" s="409"/>
      <c r="E14" s="401"/>
      <c r="F14" s="411"/>
      <c r="G14" s="402">
        <f>ROUND(D14*F14,2)</f>
        <v>0</v>
      </c>
    </row>
    <row r="15" spans="1:7" s="160" customFormat="1" ht="123" customHeight="1" x14ac:dyDescent="0.35">
      <c r="A15" s="398"/>
      <c r="B15" s="399"/>
      <c r="C15" s="400" t="s">
        <v>754</v>
      </c>
      <c r="D15" s="409">
        <v>72</v>
      </c>
      <c r="E15" s="401" t="s">
        <v>26</v>
      </c>
      <c r="F15" s="411"/>
      <c r="G15" s="402">
        <f>D15*F15</f>
        <v>0</v>
      </c>
    </row>
    <row r="16" spans="1:7" s="160" customFormat="1" ht="17.25" customHeight="1" x14ac:dyDescent="0.35">
      <c r="A16" s="398"/>
      <c r="B16" s="399"/>
      <c r="C16" s="400"/>
      <c r="D16" s="409"/>
      <c r="E16" s="401"/>
      <c r="F16" s="411"/>
      <c r="G16" s="402">
        <f>ROUND(D16*F16,2)</f>
        <v>0</v>
      </c>
    </row>
    <row r="17" spans="1:7" s="160" customFormat="1" ht="46.5" x14ac:dyDescent="0.35">
      <c r="A17" s="398"/>
      <c r="B17" s="399"/>
      <c r="C17" s="400" t="s">
        <v>755</v>
      </c>
      <c r="D17" s="409">
        <v>18</v>
      </c>
      <c r="E17" s="414" t="s">
        <v>883</v>
      </c>
      <c r="F17" s="411"/>
      <c r="G17" s="402">
        <f>D17*F17</f>
        <v>0</v>
      </c>
    </row>
    <row r="18" spans="1:7" s="160" customFormat="1" ht="17.25" customHeight="1" x14ac:dyDescent="0.35">
      <c r="A18" s="398"/>
      <c r="B18" s="399"/>
      <c r="C18" s="400"/>
      <c r="D18" s="409"/>
      <c r="E18" s="401"/>
      <c r="F18" s="411"/>
      <c r="G18" s="402">
        <f>ROUND(D18*F18,2)</f>
        <v>0</v>
      </c>
    </row>
    <row r="19" spans="1:7" s="160" customFormat="1" ht="46.5" x14ac:dyDescent="0.35">
      <c r="A19" s="398"/>
      <c r="B19" s="399"/>
      <c r="C19" s="400" t="s">
        <v>757</v>
      </c>
      <c r="D19" s="409">
        <v>6</v>
      </c>
      <c r="E19" s="414" t="s">
        <v>884</v>
      </c>
      <c r="F19" s="411"/>
      <c r="G19" s="402">
        <f>D19*F19</f>
        <v>0</v>
      </c>
    </row>
    <row r="20" spans="1:7" s="160" customFormat="1" ht="16.5" customHeight="1" x14ac:dyDescent="0.35">
      <c r="A20" s="398"/>
      <c r="B20" s="399"/>
      <c r="C20" s="400"/>
      <c r="D20" s="409"/>
      <c r="E20" s="401"/>
      <c r="F20" s="411"/>
      <c r="G20" s="402">
        <f>ROUND(D20*F20,2)</f>
        <v>0</v>
      </c>
    </row>
    <row r="21" spans="1:7" s="160" customFormat="1" ht="116.25" x14ac:dyDescent="0.35">
      <c r="A21" s="398"/>
      <c r="B21" s="399"/>
      <c r="C21" s="400" t="s">
        <v>924</v>
      </c>
      <c r="D21" s="409">
        <v>94</v>
      </c>
      <c r="E21" s="401" t="s">
        <v>26</v>
      </c>
      <c r="F21" s="411"/>
      <c r="G21" s="402">
        <f>D21*F21</f>
        <v>0</v>
      </c>
    </row>
    <row r="22" spans="1:7" s="160" customFormat="1" ht="18.75" customHeight="1" x14ac:dyDescent="0.35">
      <c r="A22" s="398"/>
      <c r="B22" s="399"/>
      <c r="C22" s="400"/>
      <c r="D22" s="409"/>
      <c r="E22" s="401"/>
      <c r="F22" s="411"/>
      <c r="G22" s="402">
        <f>ROUND(D22*F22,2)</f>
        <v>0</v>
      </c>
    </row>
    <row r="23" spans="1:7" s="160" customFormat="1" ht="116.25" x14ac:dyDescent="0.35">
      <c r="A23" s="398"/>
      <c r="B23" s="399"/>
      <c r="C23" s="400" t="s">
        <v>759</v>
      </c>
      <c r="D23" s="409">
        <v>54</v>
      </c>
      <c r="E23" s="401" t="s">
        <v>761</v>
      </c>
      <c r="F23" s="411"/>
      <c r="G23" s="402">
        <f>D23*F23</f>
        <v>0</v>
      </c>
    </row>
    <row r="24" spans="1:7" s="160" customFormat="1" ht="24" thickBot="1" x14ac:dyDescent="0.4">
      <c r="A24" s="398"/>
      <c r="B24" s="399"/>
      <c r="C24" s="400"/>
      <c r="D24" s="409"/>
      <c r="E24" s="401"/>
      <c r="F24" s="411"/>
      <c r="G24" s="402">
        <f>ROUND(D24*F24,2)</f>
        <v>0</v>
      </c>
    </row>
    <row r="25" spans="1:7" s="160" customFormat="1" ht="24" thickBot="1" x14ac:dyDescent="0.4">
      <c r="A25" s="398"/>
      <c r="B25" s="399"/>
      <c r="C25" s="404" t="s">
        <v>760</v>
      </c>
      <c r="D25" s="409"/>
      <c r="E25" s="401"/>
      <c r="F25" s="411"/>
      <c r="G25" s="405">
        <f>SUM(G7:G24)</f>
        <v>0</v>
      </c>
    </row>
    <row r="26" spans="1:7" s="160" customFormat="1" ht="24" thickBot="1" x14ac:dyDescent="0.4">
      <c r="A26" s="398"/>
      <c r="B26" s="399"/>
      <c r="C26" s="400"/>
      <c r="D26" s="409"/>
      <c r="E26" s="401"/>
      <c r="F26" s="411"/>
      <c r="G26" s="402">
        <f>ROUND(D26*F26,2)</f>
        <v>0</v>
      </c>
    </row>
    <row r="27" spans="1:7" x14ac:dyDescent="0.35">
      <c r="A27" s="383"/>
      <c r="B27" s="384"/>
      <c r="C27" s="385"/>
      <c r="D27" s="386"/>
      <c r="E27" s="387"/>
      <c r="F27" s="410"/>
      <c r="G27" s="387"/>
    </row>
    <row r="28" spans="1:7" s="160" customFormat="1" x14ac:dyDescent="0.35">
      <c r="A28" s="388"/>
      <c r="B28" s="389"/>
      <c r="C28" s="390"/>
      <c r="D28" s="391"/>
      <c r="E28" s="391"/>
      <c r="F28" s="393" t="s">
        <v>2</v>
      </c>
      <c r="G28" s="393"/>
    </row>
    <row r="29" spans="1:7" s="160" customFormat="1" ht="24" thickBot="1" x14ac:dyDescent="0.4">
      <c r="A29" s="394"/>
      <c r="B29" s="395"/>
      <c r="C29" s="396" t="s">
        <v>753</v>
      </c>
      <c r="D29" s="397" t="s">
        <v>3</v>
      </c>
      <c r="E29" s="397" t="s">
        <v>1</v>
      </c>
      <c r="F29" s="397" t="s">
        <v>4</v>
      </c>
      <c r="G29" s="397" t="s">
        <v>5</v>
      </c>
    </row>
    <row r="30" spans="1:7" s="160" customFormat="1" x14ac:dyDescent="0.35">
      <c r="A30" s="398"/>
      <c r="B30" s="399"/>
      <c r="C30" s="400"/>
      <c r="D30" s="409"/>
      <c r="E30" s="401"/>
      <c r="F30" s="411"/>
      <c r="G30" s="402">
        <f>ROUND(D30*F30,2)</f>
        <v>0</v>
      </c>
    </row>
    <row r="31" spans="1:7" s="160" customFormat="1" ht="46.5" x14ac:dyDescent="0.35">
      <c r="A31" s="398"/>
      <c r="B31" s="399"/>
      <c r="C31" s="403" t="s">
        <v>784</v>
      </c>
      <c r="D31" s="409"/>
      <c r="E31" s="401"/>
      <c r="F31" s="411"/>
      <c r="G31" s="402">
        <f>ROUND(D31*F31,2)</f>
        <v>0</v>
      </c>
    </row>
    <row r="32" spans="1:7" s="160" customFormat="1" x14ac:dyDescent="0.35">
      <c r="A32" s="398"/>
      <c r="B32" s="399"/>
      <c r="C32" s="400"/>
      <c r="D32" s="409"/>
      <c r="E32" s="401"/>
      <c r="F32" s="411"/>
      <c r="G32" s="402">
        <f>ROUND(D32*F32,2)</f>
        <v>0</v>
      </c>
    </row>
    <row r="33" spans="1:7" s="160" customFormat="1" ht="116.25" x14ac:dyDescent="0.35">
      <c r="A33" s="398"/>
      <c r="B33" s="399"/>
      <c r="C33" s="400" t="s">
        <v>769</v>
      </c>
      <c r="D33" s="409">
        <v>48</v>
      </c>
      <c r="E33" s="401" t="s">
        <v>761</v>
      </c>
      <c r="F33" s="411"/>
      <c r="G33" s="402">
        <f>D33*F33</f>
        <v>0</v>
      </c>
    </row>
    <row r="34" spans="1:7" s="160" customFormat="1" x14ac:dyDescent="0.35">
      <c r="A34" s="398"/>
      <c r="B34" s="399"/>
      <c r="C34" s="400"/>
      <c r="D34" s="409"/>
      <c r="E34" s="401"/>
      <c r="F34" s="411"/>
      <c r="G34" s="402">
        <f>ROUND(D34*F34,2)</f>
        <v>0</v>
      </c>
    </row>
    <row r="35" spans="1:7" s="160" customFormat="1" ht="116.25" x14ac:dyDescent="0.35">
      <c r="A35" s="398"/>
      <c r="B35" s="399"/>
      <c r="C35" s="400" t="s">
        <v>762</v>
      </c>
      <c r="D35" s="409">
        <v>48</v>
      </c>
      <c r="E35" s="401" t="s">
        <v>761</v>
      </c>
      <c r="F35" s="411"/>
      <c r="G35" s="402">
        <f>D35*F35</f>
        <v>0</v>
      </c>
    </row>
    <row r="36" spans="1:7" s="160" customFormat="1" x14ac:dyDescent="0.35">
      <c r="A36" s="398"/>
      <c r="B36" s="399"/>
      <c r="C36" s="400"/>
      <c r="D36" s="409"/>
      <c r="E36" s="401"/>
      <c r="F36" s="411"/>
      <c r="G36" s="402">
        <f>ROUND(D36*F36,2)</f>
        <v>0</v>
      </c>
    </row>
    <row r="37" spans="1:7" s="160" customFormat="1" ht="46.5" x14ac:dyDescent="0.35">
      <c r="A37" s="398"/>
      <c r="B37" s="399"/>
      <c r="C37" s="400" t="s">
        <v>764</v>
      </c>
      <c r="D37" s="409">
        <v>12</v>
      </c>
      <c r="E37" s="401" t="s">
        <v>761</v>
      </c>
      <c r="F37" s="411"/>
      <c r="G37" s="402">
        <f>D37*F37</f>
        <v>0</v>
      </c>
    </row>
    <row r="38" spans="1:7" s="160" customFormat="1" x14ac:dyDescent="0.35">
      <c r="A38" s="398"/>
      <c r="B38" s="399"/>
      <c r="C38" s="400"/>
      <c r="D38" s="409"/>
      <c r="E38" s="401"/>
      <c r="F38" s="411"/>
      <c r="G38" s="402">
        <f>ROUND(D38*F38,2)</f>
        <v>0</v>
      </c>
    </row>
    <row r="39" spans="1:7" s="160" customFormat="1" ht="46.5" x14ac:dyDescent="0.35">
      <c r="A39" s="398"/>
      <c r="B39" s="399"/>
      <c r="C39" s="400" t="s">
        <v>765</v>
      </c>
      <c r="D39" s="409">
        <v>12</v>
      </c>
      <c r="E39" s="401" t="s">
        <v>761</v>
      </c>
      <c r="F39" s="411"/>
      <c r="G39" s="402">
        <f>D39*F39</f>
        <v>0</v>
      </c>
    </row>
    <row r="40" spans="1:7" s="160" customFormat="1" x14ac:dyDescent="0.35">
      <c r="A40" s="398"/>
      <c r="B40" s="399"/>
      <c r="C40" s="400"/>
      <c r="D40" s="409"/>
      <c r="E40" s="401"/>
      <c r="F40" s="411"/>
      <c r="G40" s="402">
        <f>ROUND(D40*F40,2)</f>
        <v>0</v>
      </c>
    </row>
    <row r="41" spans="1:7" s="160" customFormat="1" ht="46.5" x14ac:dyDescent="0.35">
      <c r="A41" s="398"/>
      <c r="B41" s="399"/>
      <c r="C41" s="400" t="s">
        <v>770</v>
      </c>
      <c r="D41" s="409">
        <v>6</v>
      </c>
      <c r="E41" s="401" t="s">
        <v>761</v>
      </c>
      <c r="F41" s="411"/>
      <c r="G41" s="402">
        <f>D41*F41</f>
        <v>0</v>
      </c>
    </row>
    <row r="42" spans="1:7" s="160" customFormat="1" x14ac:dyDescent="0.35">
      <c r="A42" s="398"/>
      <c r="B42" s="399"/>
      <c r="C42" s="400"/>
      <c r="D42" s="409"/>
      <c r="E42" s="401"/>
      <c r="F42" s="411"/>
      <c r="G42" s="402">
        <f>ROUND(D42*F42,2)</f>
        <v>0</v>
      </c>
    </row>
    <row r="43" spans="1:7" s="160" customFormat="1" ht="186" x14ac:dyDescent="0.35">
      <c r="A43" s="398"/>
      <c r="B43" s="399"/>
      <c r="C43" s="400" t="s">
        <v>766</v>
      </c>
      <c r="D43" s="409">
        <v>6</v>
      </c>
      <c r="E43" s="401" t="s">
        <v>761</v>
      </c>
      <c r="F43" s="411"/>
      <c r="G43" s="402">
        <f>D43*F43</f>
        <v>0</v>
      </c>
    </row>
    <row r="44" spans="1:7" s="160" customFormat="1" x14ac:dyDescent="0.35">
      <c r="A44" s="398"/>
      <c r="B44" s="399"/>
      <c r="C44" s="400"/>
      <c r="D44" s="409"/>
      <c r="E44" s="401"/>
      <c r="F44" s="411"/>
      <c r="G44" s="402">
        <f>ROUND(D44*F44,2)</f>
        <v>0</v>
      </c>
    </row>
    <row r="45" spans="1:7" s="160" customFormat="1" ht="69.75" x14ac:dyDescent="0.35">
      <c r="A45" s="398"/>
      <c r="B45" s="399"/>
      <c r="C45" s="400" t="s">
        <v>771</v>
      </c>
      <c r="D45" s="409">
        <v>34</v>
      </c>
      <c r="E45" s="401" t="s">
        <v>772</v>
      </c>
      <c r="F45" s="411"/>
      <c r="G45" s="402">
        <f>D45*F45</f>
        <v>0</v>
      </c>
    </row>
    <row r="46" spans="1:7" s="160" customFormat="1" x14ac:dyDescent="0.35">
      <c r="A46" s="398"/>
      <c r="B46" s="399"/>
      <c r="C46" s="400"/>
      <c r="D46" s="409"/>
      <c r="E46" s="401"/>
      <c r="F46" s="411"/>
      <c r="G46" s="402">
        <f>ROUND(D46*F46,2)</f>
        <v>0</v>
      </c>
    </row>
    <row r="47" spans="1:7" s="160" customFormat="1" ht="93" x14ac:dyDescent="0.35">
      <c r="A47" s="398"/>
      <c r="B47" s="399"/>
      <c r="C47" s="400" t="s">
        <v>773</v>
      </c>
      <c r="D47" s="409">
        <v>448</v>
      </c>
      <c r="E47" s="401" t="s">
        <v>772</v>
      </c>
      <c r="F47" s="411"/>
      <c r="G47" s="402">
        <f>D47*F47</f>
        <v>0</v>
      </c>
    </row>
    <row r="48" spans="1:7" s="160" customFormat="1" ht="24" thickBot="1" x14ac:dyDescent="0.4">
      <c r="A48" s="398"/>
      <c r="B48" s="399"/>
      <c r="C48" s="400"/>
      <c r="D48" s="409"/>
      <c r="E48" s="401"/>
      <c r="F48" s="411"/>
      <c r="G48" s="402">
        <f>ROUND(D48*F48,2)</f>
        <v>0</v>
      </c>
    </row>
    <row r="49" spans="1:7" s="160" customFormat="1" ht="24" thickBot="1" x14ac:dyDescent="0.4">
      <c r="A49" s="398"/>
      <c r="B49" s="399"/>
      <c r="C49" s="404" t="s">
        <v>760</v>
      </c>
      <c r="D49" s="409"/>
      <c r="E49" s="401"/>
      <c r="F49" s="411"/>
      <c r="G49" s="405">
        <f>SUM(G33:G48)</f>
        <v>0</v>
      </c>
    </row>
    <row r="50" spans="1:7" s="160" customFormat="1" ht="24" thickBot="1" x14ac:dyDescent="0.4">
      <c r="A50" s="398"/>
      <c r="B50" s="399"/>
      <c r="C50" s="400"/>
      <c r="D50" s="409"/>
      <c r="E50" s="401"/>
      <c r="F50" s="411"/>
      <c r="G50" s="402">
        <f>ROUND(D50*F50,2)</f>
        <v>0</v>
      </c>
    </row>
    <row r="51" spans="1:7" x14ac:dyDescent="0.35">
      <c r="A51" s="383"/>
      <c r="B51" s="384"/>
      <c r="C51" s="385"/>
      <c r="D51" s="386"/>
      <c r="E51" s="387"/>
      <c r="F51" s="410"/>
      <c r="G51" s="387"/>
    </row>
    <row r="52" spans="1:7" s="160" customFormat="1" x14ac:dyDescent="0.35">
      <c r="A52" s="388"/>
      <c r="B52" s="389"/>
      <c r="C52" s="390"/>
      <c r="D52" s="391"/>
      <c r="E52" s="391"/>
      <c r="F52" s="393" t="s">
        <v>2</v>
      </c>
      <c r="G52" s="393"/>
    </row>
    <row r="53" spans="1:7" s="160" customFormat="1" ht="24" thickBot="1" x14ac:dyDescent="0.4">
      <c r="A53" s="394"/>
      <c r="B53" s="395"/>
      <c r="C53" s="396" t="s">
        <v>753</v>
      </c>
      <c r="D53" s="397" t="s">
        <v>3</v>
      </c>
      <c r="E53" s="397" t="s">
        <v>1</v>
      </c>
      <c r="F53" s="397" t="s">
        <v>4</v>
      </c>
      <c r="G53" s="397" t="s">
        <v>5</v>
      </c>
    </row>
    <row r="54" spans="1:7" s="160" customFormat="1" x14ac:dyDescent="0.35">
      <c r="A54" s="398"/>
      <c r="B54" s="399"/>
      <c r="C54" s="400"/>
      <c r="D54" s="409"/>
      <c r="E54" s="401"/>
      <c r="F54" s="411"/>
      <c r="G54" s="402">
        <f>ROUND(D54*F54,2)</f>
        <v>0</v>
      </c>
    </row>
    <row r="55" spans="1:7" s="160" customFormat="1" ht="46.5" x14ac:dyDescent="0.35">
      <c r="A55" s="398"/>
      <c r="B55" s="399"/>
      <c r="C55" s="403" t="s">
        <v>784</v>
      </c>
      <c r="D55" s="409"/>
      <c r="E55" s="401"/>
      <c r="F55" s="411"/>
      <c r="G55" s="402">
        <f>ROUND(D55*F55,2)</f>
        <v>0</v>
      </c>
    </row>
    <row r="56" spans="1:7" s="160" customFormat="1" x14ac:dyDescent="0.35">
      <c r="A56" s="398"/>
      <c r="B56" s="399"/>
      <c r="C56" s="400"/>
      <c r="D56" s="409"/>
      <c r="E56" s="401"/>
      <c r="F56" s="411"/>
      <c r="G56" s="402">
        <f>ROUND(D56*F56,2)</f>
        <v>0</v>
      </c>
    </row>
    <row r="57" spans="1:7" s="160" customFormat="1" ht="116.25" x14ac:dyDescent="0.35">
      <c r="A57" s="398"/>
      <c r="B57" s="399"/>
      <c r="C57" s="400" t="s">
        <v>890</v>
      </c>
      <c r="D57" s="409">
        <v>130</v>
      </c>
      <c r="E57" s="401" t="s">
        <v>772</v>
      </c>
      <c r="F57" s="411"/>
      <c r="G57" s="402">
        <f>D57*F57</f>
        <v>0</v>
      </c>
    </row>
    <row r="58" spans="1:7" s="160" customFormat="1" x14ac:dyDescent="0.35">
      <c r="A58" s="398"/>
      <c r="B58" s="399"/>
      <c r="C58" s="400"/>
      <c r="D58" s="409"/>
      <c r="E58" s="401"/>
      <c r="F58" s="411"/>
      <c r="G58" s="402">
        <f t="shared" ref="G58:G76" si="0">ROUND(D58*F58,2)</f>
        <v>0</v>
      </c>
    </row>
    <row r="59" spans="1:7" s="160" customFormat="1" ht="69.75" x14ac:dyDescent="0.35">
      <c r="A59" s="398"/>
      <c r="B59" s="399"/>
      <c r="C59" s="400" t="s">
        <v>832</v>
      </c>
      <c r="D59" s="409">
        <v>130</v>
      </c>
      <c r="E59" s="401" t="s">
        <v>772</v>
      </c>
      <c r="F59" s="411"/>
      <c r="G59" s="402">
        <f>D59*F59</f>
        <v>0</v>
      </c>
    </row>
    <row r="60" spans="1:7" s="160" customFormat="1" x14ac:dyDescent="0.35">
      <c r="A60" s="398"/>
      <c r="B60" s="399"/>
      <c r="C60" s="400"/>
      <c r="D60" s="409"/>
      <c r="E60" s="401"/>
      <c r="F60" s="411"/>
      <c r="G60" s="402">
        <f t="shared" si="0"/>
        <v>0</v>
      </c>
    </row>
    <row r="61" spans="1:7" s="160" customFormat="1" ht="46.5" x14ac:dyDescent="0.35">
      <c r="A61" s="398"/>
      <c r="B61" s="399"/>
      <c r="C61" s="400" t="s">
        <v>774</v>
      </c>
      <c r="D61" s="409">
        <v>130</v>
      </c>
      <c r="E61" s="401" t="s">
        <v>772</v>
      </c>
      <c r="F61" s="411"/>
      <c r="G61" s="402">
        <f>D61*F61</f>
        <v>0</v>
      </c>
    </row>
    <row r="62" spans="1:7" s="160" customFormat="1" x14ac:dyDescent="0.35">
      <c r="A62" s="398"/>
      <c r="B62" s="399"/>
      <c r="C62" s="400"/>
      <c r="D62" s="409"/>
      <c r="E62" s="401"/>
      <c r="F62" s="411"/>
      <c r="G62" s="402">
        <f t="shared" si="0"/>
        <v>0</v>
      </c>
    </row>
    <row r="63" spans="1:7" s="160" customFormat="1" ht="93" x14ac:dyDescent="0.35">
      <c r="A63" s="398"/>
      <c r="B63" s="399"/>
      <c r="C63" s="400" t="s">
        <v>775</v>
      </c>
      <c r="D63" s="409">
        <v>76</v>
      </c>
      <c r="E63" s="401" t="s">
        <v>772</v>
      </c>
      <c r="F63" s="411"/>
      <c r="G63" s="402">
        <f>D63*F63</f>
        <v>0</v>
      </c>
    </row>
    <row r="64" spans="1:7" s="160" customFormat="1" x14ac:dyDescent="0.35">
      <c r="A64" s="398"/>
      <c r="B64" s="399"/>
      <c r="C64" s="400"/>
      <c r="D64" s="409"/>
      <c r="E64" s="401"/>
      <c r="F64" s="411"/>
      <c r="G64" s="402">
        <f t="shared" si="0"/>
        <v>0</v>
      </c>
    </row>
    <row r="65" spans="1:7" s="160" customFormat="1" ht="46.5" x14ac:dyDescent="0.35">
      <c r="A65" s="398"/>
      <c r="B65" s="399"/>
      <c r="C65" s="400" t="s">
        <v>776</v>
      </c>
      <c r="D65" s="409">
        <v>76</v>
      </c>
      <c r="E65" s="401" t="s">
        <v>772</v>
      </c>
      <c r="F65" s="411"/>
      <c r="G65" s="402">
        <f>D65*F65</f>
        <v>0</v>
      </c>
    </row>
    <row r="66" spans="1:7" s="160" customFormat="1" x14ac:dyDescent="0.35">
      <c r="A66" s="398"/>
      <c r="B66" s="399"/>
      <c r="C66" s="400"/>
      <c r="D66" s="409"/>
      <c r="E66" s="401"/>
      <c r="F66" s="411"/>
      <c r="G66" s="402">
        <f t="shared" si="0"/>
        <v>0</v>
      </c>
    </row>
    <row r="67" spans="1:7" s="160" customFormat="1" ht="116.25" x14ac:dyDescent="0.35">
      <c r="A67" s="398"/>
      <c r="B67" s="399"/>
      <c r="C67" s="400" t="s">
        <v>781</v>
      </c>
      <c r="D67" s="409">
        <v>252</v>
      </c>
      <c r="E67" s="401" t="s">
        <v>772</v>
      </c>
      <c r="F67" s="411"/>
      <c r="G67" s="402">
        <f>D67*F67</f>
        <v>0</v>
      </c>
    </row>
    <row r="68" spans="1:7" s="160" customFormat="1" x14ac:dyDescent="0.35">
      <c r="A68" s="398"/>
      <c r="B68" s="399"/>
      <c r="C68" s="400"/>
      <c r="D68" s="409"/>
      <c r="E68" s="401"/>
      <c r="F68" s="411"/>
      <c r="G68" s="402">
        <f t="shared" si="0"/>
        <v>0</v>
      </c>
    </row>
    <row r="69" spans="1:7" s="160" customFormat="1" ht="116.25" x14ac:dyDescent="0.35">
      <c r="A69" s="398"/>
      <c r="B69" s="399"/>
      <c r="C69" s="400" t="s">
        <v>782</v>
      </c>
      <c r="D69" s="409">
        <v>144</v>
      </c>
      <c r="E69" s="401" t="s">
        <v>772</v>
      </c>
      <c r="F69" s="411"/>
      <c r="G69" s="402">
        <f>D69*F69</f>
        <v>0</v>
      </c>
    </row>
    <row r="70" spans="1:7" s="160" customFormat="1" x14ac:dyDescent="0.35">
      <c r="A70" s="398"/>
      <c r="B70" s="399"/>
      <c r="C70" s="400"/>
      <c r="D70" s="409"/>
      <c r="E70" s="401"/>
      <c r="F70" s="411"/>
      <c r="G70" s="402">
        <f t="shared" si="0"/>
        <v>0</v>
      </c>
    </row>
    <row r="71" spans="1:7" s="160" customFormat="1" ht="93" x14ac:dyDescent="0.35">
      <c r="A71" s="398"/>
      <c r="B71" s="399"/>
      <c r="C71" s="400" t="s">
        <v>864</v>
      </c>
      <c r="D71" s="409">
        <v>1</v>
      </c>
      <c r="E71" s="401" t="s">
        <v>761</v>
      </c>
      <c r="F71" s="411"/>
      <c r="G71" s="402">
        <f>D71*F71</f>
        <v>0</v>
      </c>
    </row>
    <row r="72" spans="1:7" s="160" customFormat="1" x14ac:dyDescent="0.35">
      <c r="A72" s="398"/>
      <c r="B72" s="399"/>
      <c r="C72" s="400"/>
      <c r="D72" s="409"/>
      <c r="E72" s="401"/>
      <c r="F72" s="411"/>
      <c r="G72" s="402">
        <f t="shared" si="0"/>
        <v>0</v>
      </c>
    </row>
    <row r="73" spans="1:7" s="160" customFormat="1" x14ac:dyDescent="0.35">
      <c r="A73" s="398"/>
      <c r="B73" s="399"/>
      <c r="C73" s="400"/>
      <c r="D73" s="409"/>
      <c r="E73" s="401"/>
      <c r="F73" s="411"/>
      <c r="G73" s="402">
        <f t="shared" si="0"/>
        <v>0</v>
      </c>
    </row>
    <row r="74" spans="1:7" s="160" customFormat="1" ht="24" thickBot="1" x14ac:dyDescent="0.4">
      <c r="A74" s="398"/>
      <c r="B74" s="399"/>
      <c r="C74" s="400"/>
      <c r="D74" s="409"/>
      <c r="E74" s="401"/>
      <c r="F74" s="411"/>
      <c r="G74" s="402">
        <f t="shared" si="0"/>
        <v>0</v>
      </c>
    </row>
    <row r="75" spans="1:7" s="160" customFormat="1" ht="24" thickBot="1" x14ac:dyDescent="0.4">
      <c r="A75" s="398"/>
      <c r="B75" s="399"/>
      <c r="C75" s="404" t="s">
        <v>760</v>
      </c>
      <c r="D75" s="409"/>
      <c r="E75" s="401"/>
      <c r="F75" s="411"/>
      <c r="G75" s="405">
        <f>SUM(G56:G74)</f>
        <v>0</v>
      </c>
    </row>
    <row r="76" spans="1:7" s="160" customFormat="1" ht="24" thickBot="1" x14ac:dyDescent="0.4">
      <c r="A76" s="398"/>
      <c r="B76" s="399"/>
      <c r="C76" s="400"/>
      <c r="D76" s="409"/>
      <c r="E76" s="401"/>
      <c r="F76" s="411"/>
      <c r="G76" s="402">
        <f t="shared" si="0"/>
        <v>0</v>
      </c>
    </row>
    <row r="77" spans="1:7" x14ac:dyDescent="0.35">
      <c r="A77" s="383"/>
      <c r="B77" s="384"/>
      <c r="C77" s="385"/>
      <c r="D77" s="386"/>
      <c r="E77" s="387"/>
      <c r="F77" s="410"/>
      <c r="G77" s="387"/>
    </row>
    <row r="78" spans="1:7" s="160" customFormat="1" x14ac:dyDescent="0.35">
      <c r="A78" s="388"/>
      <c r="B78" s="389"/>
      <c r="C78" s="390"/>
      <c r="D78" s="391"/>
      <c r="E78" s="391"/>
      <c r="F78" s="393" t="s">
        <v>2</v>
      </c>
      <c r="G78" s="393"/>
    </row>
    <row r="79" spans="1:7" s="160" customFormat="1" ht="24" thickBot="1" x14ac:dyDescent="0.4">
      <c r="A79" s="394"/>
      <c r="B79" s="395"/>
      <c r="C79" s="396" t="s">
        <v>753</v>
      </c>
      <c r="D79" s="397" t="s">
        <v>3</v>
      </c>
      <c r="E79" s="397" t="s">
        <v>1</v>
      </c>
      <c r="F79" s="397" t="s">
        <v>4</v>
      </c>
      <c r="G79" s="397" t="s">
        <v>5</v>
      </c>
    </row>
    <row r="80" spans="1:7" s="160" customFormat="1" x14ac:dyDescent="0.35">
      <c r="A80" s="398"/>
      <c r="B80" s="399"/>
      <c r="C80" s="400"/>
      <c r="D80" s="409"/>
      <c r="E80" s="401"/>
      <c r="F80" s="411"/>
      <c r="G80" s="402">
        <f t="shared" ref="G80:G130" si="1">ROUND(D80*F80,2)</f>
        <v>0</v>
      </c>
    </row>
    <row r="81" spans="1:7" s="160" customFormat="1" ht="46.5" x14ac:dyDescent="0.35">
      <c r="A81" s="398"/>
      <c r="B81" s="399"/>
      <c r="C81" s="403" t="s">
        <v>784</v>
      </c>
      <c r="D81" s="409"/>
      <c r="E81" s="401"/>
      <c r="F81" s="411"/>
      <c r="G81" s="402">
        <f t="shared" si="1"/>
        <v>0</v>
      </c>
    </row>
    <row r="82" spans="1:7" s="160" customFormat="1" ht="18.75" customHeight="1" x14ac:dyDescent="0.35">
      <c r="A82" s="398"/>
      <c r="B82" s="399"/>
      <c r="C82" s="400"/>
      <c r="D82" s="409"/>
      <c r="E82" s="401"/>
      <c r="F82" s="411"/>
      <c r="G82" s="402">
        <f t="shared" si="1"/>
        <v>0</v>
      </c>
    </row>
    <row r="83" spans="1:7" s="160" customFormat="1" ht="139.5" x14ac:dyDescent="0.35">
      <c r="A83" s="398"/>
      <c r="B83" s="399"/>
      <c r="C83" s="400" t="s">
        <v>778</v>
      </c>
      <c r="D83" s="409">
        <v>6</v>
      </c>
      <c r="E83" s="401" t="s">
        <v>777</v>
      </c>
      <c r="F83" s="411"/>
      <c r="G83" s="402">
        <f>D83*F83</f>
        <v>0</v>
      </c>
    </row>
    <row r="84" spans="1:7" s="160" customFormat="1" x14ac:dyDescent="0.35">
      <c r="A84" s="398"/>
      <c r="B84" s="399"/>
      <c r="C84" s="400"/>
      <c r="D84" s="409"/>
      <c r="E84" s="401"/>
      <c r="F84" s="411"/>
      <c r="G84" s="402">
        <f t="shared" si="1"/>
        <v>0</v>
      </c>
    </row>
    <row r="85" spans="1:7" s="160" customFormat="1" ht="116.25" x14ac:dyDescent="0.35">
      <c r="A85" s="398"/>
      <c r="B85" s="399"/>
      <c r="C85" s="400" t="s">
        <v>779</v>
      </c>
      <c r="D85" s="409">
        <v>6</v>
      </c>
      <c r="E85" s="401" t="s">
        <v>777</v>
      </c>
      <c r="F85" s="411"/>
      <c r="G85" s="402">
        <f>D85*F85</f>
        <v>0</v>
      </c>
    </row>
    <row r="86" spans="1:7" s="160" customFormat="1" x14ac:dyDescent="0.35">
      <c r="A86" s="398"/>
      <c r="B86" s="399"/>
      <c r="C86" s="400"/>
      <c r="D86" s="409"/>
      <c r="E86" s="401"/>
      <c r="F86" s="411"/>
      <c r="G86" s="402">
        <f t="shared" si="1"/>
        <v>0</v>
      </c>
    </row>
    <row r="87" spans="1:7" s="160" customFormat="1" ht="139.5" x14ac:dyDescent="0.35">
      <c r="A87" s="398"/>
      <c r="B87" s="399"/>
      <c r="C87" s="400" t="s">
        <v>780</v>
      </c>
      <c r="D87" s="409">
        <v>6</v>
      </c>
      <c r="E87" s="401" t="s">
        <v>777</v>
      </c>
      <c r="F87" s="411"/>
      <c r="G87" s="402">
        <f>D87*F87</f>
        <v>0</v>
      </c>
    </row>
    <row r="88" spans="1:7" s="160" customFormat="1" x14ac:dyDescent="0.35">
      <c r="A88" s="398"/>
      <c r="B88" s="399"/>
      <c r="C88" s="400"/>
      <c r="D88" s="409"/>
      <c r="E88" s="401"/>
      <c r="F88" s="411"/>
      <c r="G88" s="402">
        <f t="shared" si="1"/>
        <v>0</v>
      </c>
    </row>
    <row r="89" spans="1:7" s="160" customFormat="1" ht="116.25" x14ac:dyDescent="0.35">
      <c r="A89" s="398"/>
      <c r="B89" s="399"/>
      <c r="C89" s="400" t="s">
        <v>834</v>
      </c>
      <c r="D89" s="409">
        <v>72</v>
      </c>
      <c r="E89" s="401" t="s">
        <v>26</v>
      </c>
      <c r="F89" s="411"/>
      <c r="G89" s="402">
        <f>D89*F89</f>
        <v>0</v>
      </c>
    </row>
    <row r="90" spans="1:7" s="160" customFormat="1" x14ac:dyDescent="0.35">
      <c r="A90" s="398"/>
      <c r="B90" s="399"/>
      <c r="C90" s="400"/>
      <c r="D90" s="409"/>
      <c r="E90" s="401"/>
      <c r="F90" s="411"/>
      <c r="G90" s="402">
        <f t="shared" si="1"/>
        <v>0</v>
      </c>
    </row>
    <row r="91" spans="1:7" s="160" customFormat="1" ht="162.75" x14ac:dyDescent="0.35">
      <c r="A91" s="398"/>
      <c r="B91" s="399"/>
      <c r="C91" s="400" t="s">
        <v>868</v>
      </c>
      <c r="D91" s="409">
        <v>6</v>
      </c>
      <c r="E91" s="401" t="s">
        <v>777</v>
      </c>
      <c r="F91" s="411"/>
      <c r="G91" s="402">
        <f>D91*F91</f>
        <v>0</v>
      </c>
    </row>
    <row r="92" spans="1:7" s="160" customFormat="1" x14ac:dyDescent="0.35">
      <c r="A92" s="398"/>
      <c r="B92" s="399"/>
      <c r="C92" s="400"/>
      <c r="D92" s="409"/>
      <c r="E92" s="401"/>
      <c r="F92" s="411"/>
      <c r="G92" s="402">
        <f t="shared" si="1"/>
        <v>0</v>
      </c>
    </row>
    <row r="93" spans="1:7" s="160" customFormat="1" x14ac:dyDescent="0.35">
      <c r="A93" s="398"/>
      <c r="B93" s="399"/>
      <c r="C93" s="400"/>
      <c r="D93" s="409"/>
      <c r="E93" s="401"/>
      <c r="F93" s="411"/>
      <c r="G93" s="402">
        <f t="shared" si="1"/>
        <v>0</v>
      </c>
    </row>
    <row r="94" spans="1:7" s="160" customFormat="1" x14ac:dyDescent="0.35">
      <c r="A94" s="398"/>
      <c r="B94" s="399"/>
      <c r="C94" s="400"/>
      <c r="D94" s="409"/>
      <c r="E94" s="401"/>
      <c r="F94" s="411"/>
      <c r="G94" s="402">
        <f t="shared" si="1"/>
        <v>0</v>
      </c>
    </row>
    <row r="95" spans="1:7" s="160" customFormat="1" x14ac:dyDescent="0.35">
      <c r="A95" s="398"/>
      <c r="B95" s="399"/>
      <c r="C95" s="400"/>
      <c r="D95" s="409"/>
      <c r="E95" s="401"/>
      <c r="F95" s="411"/>
      <c r="G95" s="402">
        <f t="shared" si="1"/>
        <v>0</v>
      </c>
    </row>
    <row r="96" spans="1:7" s="160" customFormat="1" x14ac:dyDescent="0.35">
      <c r="A96" s="398"/>
      <c r="B96" s="399"/>
      <c r="C96" s="400"/>
      <c r="D96" s="409"/>
      <c r="E96" s="401"/>
      <c r="F96" s="411"/>
      <c r="G96" s="402">
        <f t="shared" si="1"/>
        <v>0</v>
      </c>
    </row>
    <row r="97" spans="1:7" s="160" customFormat="1" x14ac:dyDescent="0.35">
      <c r="A97" s="398"/>
      <c r="B97" s="399"/>
      <c r="C97" s="400"/>
      <c r="D97" s="409"/>
      <c r="E97" s="401"/>
      <c r="F97" s="411"/>
      <c r="G97" s="402">
        <f t="shared" si="1"/>
        <v>0</v>
      </c>
    </row>
    <row r="98" spans="1:7" s="160" customFormat="1" ht="24" thickBot="1" x14ac:dyDescent="0.4">
      <c r="A98" s="398"/>
      <c r="B98" s="399"/>
      <c r="C98" s="400"/>
      <c r="D98" s="409"/>
      <c r="E98" s="401"/>
      <c r="F98" s="411"/>
      <c r="G98" s="402">
        <f t="shared" si="1"/>
        <v>0</v>
      </c>
    </row>
    <row r="99" spans="1:7" s="160" customFormat="1" ht="24" thickBot="1" x14ac:dyDescent="0.4">
      <c r="A99" s="398"/>
      <c r="B99" s="399"/>
      <c r="C99" s="404" t="s">
        <v>760</v>
      </c>
      <c r="D99" s="409"/>
      <c r="E99" s="401"/>
      <c r="F99" s="411"/>
      <c r="G99" s="405">
        <f>SUM(G81:G98)</f>
        <v>0</v>
      </c>
    </row>
    <row r="100" spans="1:7" s="160" customFormat="1" x14ac:dyDescent="0.35">
      <c r="A100" s="398"/>
      <c r="B100" s="399"/>
      <c r="C100" s="400"/>
      <c r="D100" s="409"/>
      <c r="E100" s="401"/>
      <c r="F100" s="411"/>
      <c r="G100" s="402">
        <f t="shared" si="1"/>
        <v>0</v>
      </c>
    </row>
    <row r="101" spans="1:7" s="160" customFormat="1" x14ac:dyDescent="0.35">
      <c r="A101" s="398"/>
      <c r="B101" s="399"/>
      <c r="C101" s="400"/>
      <c r="D101" s="409"/>
      <c r="E101" s="401"/>
      <c r="F101" s="411"/>
      <c r="G101" s="402">
        <f t="shared" si="1"/>
        <v>0</v>
      </c>
    </row>
    <row r="102" spans="1:7" s="160" customFormat="1" ht="24" thickBot="1" x14ac:dyDescent="0.4">
      <c r="A102" s="398"/>
      <c r="B102" s="399"/>
      <c r="C102" s="400"/>
      <c r="D102" s="409"/>
      <c r="E102" s="401"/>
      <c r="F102" s="411"/>
      <c r="G102" s="402">
        <f t="shared" si="1"/>
        <v>0</v>
      </c>
    </row>
    <row r="103" spans="1:7" x14ac:dyDescent="0.35">
      <c r="A103" s="383"/>
      <c r="B103" s="384"/>
      <c r="C103" s="385"/>
      <c r="D103" s="386"/>
      <c r="E103" s="387"/>
      <c r="F103" s="410"/>
      <c r="G103" s="387"/>
    </row>
    <row r="104" spans="1:7" s="160" customFormat="1" x14ac:dyDescent="0.35">
      <c r="A104" s="388"/>
      <c r="B104" s="389"/>
      <c r="C104" s="390"/>
      <c r="D104" s="391"/>
      <c r="E104" s="391"/>
      <c r="F104" s="393" t="s">
        <v>2</v>
      </c>
      <c r="G104" s="393"/>
    </row>
    <row r="105" spans="1:7" s="160" customFormat="1" ht="24" thickBot="1" x14ac:dyDescent="0.4">
      <c r="A105" s="394"/>
      <c r="B105" s="395"/>
      <c r="C105" s="396" t="s">
        <v>753</v>
      </c>
      <c r="D105" s="397" t="s">
        <v>3</v>
      </c>
      <c r="E105" s="397" t="s">
        <v>1</v>
      </c>
      <c r="F105" s="397" t="s">
        <v>4</v>
      </c>
      <c r="G105" s="397" t="s">
        <v>5</v>
      </c>
    </row>
    <row r="106" spans="1:7" s="160" customFormat="1" x14ac:dyDescent="0.35">
      <c r="A106" s="398"/>
      <c r="B106" s="399"/>
      <c r="C106" s="400"/>
      <c r="D106" s="409"/>
      <c r="E106" s="401"/>
      <c r="F106" s="411"/>
      <c r="G106" s="402">
        <f t="shared" si="1"/>
        <v>0</v>
      </c>
    </row>
    <row r="107" spans="1:7" s="160" customFormat="1" ht="46.5" x14ac:dyDescent="0.35">
      <c r="A107" s="398"/>
      <c r="B107" s="399"/>
      <c r="C107" s="403" t="s">
        <v>784</v>
      </c>
      <c r="D107" s="409"/>
      <c r="E107" s="401"/>
      <c r="F107" s="411"/>
      <c r="G107" s="402">
        <f t="shared" si="1"/>
        <v>0</v>
      </c>
    </row>
    <row r="108" spans="1:7" s="160" customFormat="1" x14ac:dyDescent="0.35">
      <c r="A108" s="398"/>
      <c r="B108" s="399"/>
      <c r="C108" s="400"/>
      <c r="D108" s="409"/>
      <c r="E108" s="401"/>
      <c r="F108" s="411"/>
      <c r="G108" s="402">
        <f t="shared" si="1"/>
        <v>0</v>
      </c>
    </row>
    <row r="109" spans="1:7" s="160" customFormat="1" x14ac:dyDescent="0.35">
      <c r="A109" s="398"/>
      <c r="B109" s="399"/>
      <c r="C109" s="412" t="s">
        <v>786</v>
      </c>
      <c r="D109" s="409"/>
      <c r="E109" s="401"/>
      <c r="F109" s="411"/>
      <c r="G109" s="402">
        <f t="shared" si="1"/>
        <v>0</v>
      </c>
    </row>
    <row r="110" spans="1:7" s="160" customFormat="1" x14ac:dyDescent="0.35">
      <c r="A110" s="398"/>
      <c r="B110" s="399"/>
      <c r="C110" s="400"/>
      <c r="D110" s="409"/>
      <c r="E110" s="401"/>
      <c r="F110" s="411"/>
      <c r="G110" s="402">
        <f t="shared" si="1"/>
        <v>0</v>
      </c>
    </row>
    <row r="111" spans="1:7" s="160" customFormat="1" ht="46.5" x14ac:dyDescent="0.35">
      <c r="A111" s="398"/>
      <c r="B111" s="399"/>
      <c r="C111" s="400" t="s">
        <v>789</v>
      </c>
      <c r="D111" s="409">
        <v>1</v>
      </c>
      <c r="E111" s="401" t="s">
        <v>756</v>
      </c>
      <c r="F111" s="411"/>
      <c r="G111" s="402">
        <f>D111*F111</f>
        <v>0</v>
      </c>
    </row>
    <row r="112" spans="1:7" s="160" customFormat="1" x14ac:dyDescent="0.35">
      <c r="A112" s="398"/>
      <c r="B112" s="399"/>
      <c r="C112" s="400"/>
      <c r="D112" s="409"/>
      <c r="E112" s="401"/>
      <c r="F112" s="411"/>
      <c r="G112" s="402">
        <f t="shared" si="1"/>
        <v>0</v>
      </c>
    </row>
    <row r="113" spans="1:7" s="160" customFormat="1" ht="69.75" x14ac:dyDescent="0.35">
      <c r="A113" s="398"/>
      <c r="B113" s="399"/>
      <c r="C113" s="400" t="s">
        <v>787</v>
      </c>
      <c r="D113" s="409">
        <v>31</v>
      </c>
      <c r="E113" s="401" t="s">
        <v>26</v>
      </c>
      <c r="F113" s="411"/>
      <c r="G113" s="402">
        <f>D113*F113</f>
        <v>0</v>
      </c>
    </row>
    <row r="114" spans="1:7" s="160" customFormat="1" x14ac:dyDescent="0.35">
      <c r="A114" s="398"/>
      <c r="B114" s="399"/>
      <c r="C114" s="400"/>
      <c r="D114" s="409"/>
      <c r="E114" s="401"/>
      <c r="F114" s="411"/>
      <c r="G114" s="402">
        <f t="shared" si="1"/>
        <v>0</v>
      </c>
    </row>
    <row r="115" spans="1:7" s="160" customFormat="1" ht="46.5" x14ac:dyDescent="0.35">
      <c r="A115" s="398"/>
      <c r="B115" s="399"/>
      <c r="C115" s="400" t="s">
        <v>788</v>
      </c>
      <c r="D115" s="409">
        <v>434</v>
      </c>
      <c r="E115" s="401" t="s">
        <v>772</v>
      </c>
      <c r="F115" s="411"/>
      <c r="G115" s="402">
        <f>D115*F115</f>
        <v>0</v>
      </c>
    </row>
    <row r="116" spans="1:7" s="160" customFormat="1" x14ac:dyDescent="0.35">
      <c r="A116" s="398"/>
      <c r="B116" s="399"/>
      <c r="C116" s="400"/>
      <c r="D116" s="409"/>
      <c r="E116" s="401"/>
      <c r="F116" s="411"/>
      <c r="G116" s="402">
        <f t="shared" si="1"/>
        <v>0</v>
      </c>
    </row>
    <row r="117" spans="1:7" s="160" customFormat="1" ht="116.25" x14ac:dyDescent="0.35">
      <c r="A117" s="398"/>
      <c r="B117" s="399"/>
      <c r="C117" s="400" t="s">
        <v>791</v>
      </c>
      <c r="D117" s="409"/>
      <c r="E117" s="401"/>
      <c r="F117" s="411"/>
      <c r="G117" s="402">
        <f t="shared" si="1"/>
        <v>0</v>
      </c>
    </row>
    <row r="118" spans="1:7" s="160" customFormat="1" ht="24" thickBot="1" x14ac:dyDescent="0.4">
      <c r="A118" s="398"/>
      <c r="B118" s="399"/>
      <c r="C118" s="400"/>
      <c r="D118" s="409"/>
      <c r="E118" s="401"/>
      <c r="F118" s="411"/>
      <c r="G118" s="402">
        <f t="shared" si="1"/>
        <v>0</v>
      </c>
    </row>
    <row r="119" spans="1:7" s="160" customFormat="1" ht="70.5" thickBot="1" x14ac:dyDescent="0.4">
      <c r="A119" s="398"/>
      <c r="B119" s="399"/>
      <c r="C119" s="400" t="s">
        <v>938</v>
      </c>
      <c r="D119" s="409">
        <v>1</v>
      </c>
      <c r="E119" s="401" t="s">
        <v>756</v>
      </c>
      <c r="F119" s="411"/>
      <c r="G119" s="433">
        <f>D119*F119</f>
        <v>0</v>
      </c>
    </row>
    <row r="120" spans="1:7" s="160" customFormat="1" ht="24" thickBot="1" x14ac:dyDescent="0.4">
      <c r="A120" s="398"/>
      <c r="B120" s="399"/>
      <c r="C120" s="400"/>
      <c r="D120" s="409"/>
      <c r="E120" s="401"/>
      <c r="F120" s="411"/>
      <c r="G120" s="402">
        <f t="shared" ref="G120:G122" si="2">ROUND(D120*F120,2)</f>
        <v>0</v>
      </c>
    </row>
    <row r="121" spans="1:7" s="160" customFormat="1" ht="49.5" customHeight="1" thickBot="1" x14ac:dyDescent="0.4">
      <c r="A121" s="398"/>
      <c r="B121" s="399"/>
      <c r="C121" s="400"/>
      <c r="D121" s="409"/>
      <c r="E121" s="401"/>
      <c r="F121" s="411"/>
      <c r="G121" s="433"/>
    </row>
    <row r="122" spans="1:7" s="160" customFormat="1" ht="24" thickBot="1" x14ac:dyDescent="0.4">
      <c r="A122" s="398"/>
      <c r="B122" s="399"/>
      <c r="C122" s="400"/>
      <c r="D122" s="409"/>
      <c r="E122" s="401"/>
      <c r="F122" s="411"/>
      <c r="G122" s="402">
        <f t="shared" si="2"/>
        <v>0</v>
      </c>
    </row>
    <row r="123" spans="1:7" s="160" customFormat="1" ht="70.5" thickBot="1" x14ac:dyDescent="0.4">
      <c r="A123" s="398"/>
      <c r="B123" s="399"/>
      <c r="C123" s="400" t="s">
        <v>939</v>
      </c>
      <c r="D123" s="409">
        <v>1</v>
      </c>
      <c r="E123" s="401" t="s">
        <v>756</v>
      </c>
      <c r="F123" s="411"/>
      <c r="G123" s="433">
        <f>D123*F123</f>
        <v>0</v>
      </c>
    </row>
    <row r="124" spans="1:7" s="160" customFormat="1" x14ac:dyDescent="0.35">
      <c r="A124" s="398"/>
      <c r="B124" s="399"/>
      <c r="C124" s="400"/>
      <c r="D124" s="409"/>
      <c r="E124" s="401"/>
      <c r="F124" s="411"/>
      <c r="G124" s="402">
        <f t="shared" si="1"/>
        <v>0</v>
      </c>
    </row>
    <row r="125" spans="1:7" s="160" customFormat="1" x14ac:dyDescent="0.35">
      <c r="A125" s="398"/>
      <c r="B125" s="399"/>
      <c r="C125" s="400"/>
      <c r="D125" s="409"/>
      <c r="E125" s="401"/>
      <c r="F125" s="411"/>
      <c r="G125" s="402">
        <f t="shared" si="1"/>
        <v>0</v>
      </c>
    </row>
    <row r="126" spans="1:7" s="160" customFormat="1" x14ac:dyDescent="0.35">
      <c r="A126" s="398"/>
      <c r="B126" s="399"/>
      <c r="C126" s="400"/>
      <c r="D126" s="409"/>
      <c r="E126" s="401"/>
      <c r="F126" s="411"/>
      <c r="G126" s="402">
        <f t="shared" si="1"/>
        <v>0</v>
      </c>
    </row>
    <row r="127" spans="1:7" s="160" customFormat="1" ht="24" thickBot="1" x14ac:dyDescent="0.4">
      <c r="A127" s="398"/>
      <c r="B127" s="399"/>
      <c r="C127" s="400"/>
      <c r="D127" s="409"/>
      <c r="E127" s="401"/>
      <c r="F127" s="411"/>
      <c r="G127" s="402">
        <f t="shared" si="1"/>
        <v>0</v>
      </c>
    </row>
    <row r="128" spans="1:7" s="160" customFormat="1" ht="24" thickBot="1" x14ac:dyDescent="0.4">
      <c r="A128" s="398"/>
      <c r="B128" s="399"/>
      <c r="C128" s="404" t="s">
        <v>760</v>
      </c>
      <c r="D128" s="409"/>
      <c r="E128" s="401"/>
      <c r="F128" s="411"/>
      <c r="G128" s="405">
        <f>SUM(G108:G127)</f>
        <v>0</v>
      </c>
    </row>
    <row r="129" spans="1:7" s="160" customFormat="1" x14ac:dyDescent="0.35">
      <c r="A129" s="398"/>
      <c r="B129" s="399"/>
      <c r="C129" s="400"/>
      <c r="D129" s="409"/>
      <c r="E129" s="401"/>
      <c r="F129" s="411"/>
      <c r="G129" s="402">
        <f t="shared" si="1"/>
        <v>0</v>
      </c>
    </row>
    <row r="130" spans="1:7" s="160" customFormat="1" ht="24" thickBot="1" x14ac:dyDescent="0.4">
      <c r="A130" s="398"/>
      <c r="B130" s="399"/>
      <c r="C130" s="400"/>
      <c r="D130" s="409"/>
      <c r="E130" s="401"/>
      <c r="F130" s="411"/>
      <c r="G130" s="402">
        <f t="shared" si="1"/>
        <v>0</v>
      </c>
    </row>
    <row r="131" spans="1:7" x14ac:dyDescent="0.35">
      <c r="A131" s="383"/>
      <c r="B131" s="384"/>
      <c r="C131" s="385"/>
      <c r="D131" s="386"/>
      <c r="E131" s="387"/>
      <c r="F131" s="410"/>
      <c r="G131" s="387"/>
    </row>
    <row r="132" spans="1:7" s="160" customFormat="1" x14ac:dyDescent="0.35">
      <c r="A132" s="388"/>
      <c r="B132" s="389"/>
      <c r="C132" s="390"/>
      <c r="D132" s="391"/>
      <c r="E132" s="391"/>
      <c r="F132" s="393" t="s">
        <v>2</v>
      </c>
      <c r="G132" s="393"/>
    </row>
    <row r="133" spans="1:7" s="160" customFormat="1" ht="24" thickBot="1" x14ac:dyDescent="0.4">
      <c r="A133" s="394"/>
      <c r="B133" s="395"/>
      <c r="C133" s="396" t="s">
        <v>753</v>
      </c>
      <c r="D133" s="397" t="s">
        <v>3</v>
      </c>
      <c r="E133" s="397" t="s">
        <v>1</v>
      </c>
      <c r="F133" s="397" t="s">
        <v>4</v>
      </c>
      <c r="G133" s="397" t="s">
        <v>5</v>
      </c>
    </row>
    <row r="134" spans="1:7" s="160" customFormat="1" x14ac:dyDescent="0.35">
      <c r="A134" s="398"/>
      <c r="B134" s="399"/>
      <c r="C134" s="400"/>
      <c r="D134" s="409"/>
      <c r="E134" s="401"/>
      <c r="F134" s="411"/>
      <c r="G134" s="402">
        <f t="shared" ref="G134:G146" si="3">ROUND(D134*F134,2)</f>
        <v>0</v>
      </c>
    </row>
    <row r="135" spans="1:7" s="160" customFormat="1" ht="46.5" x14ac:dyDescent="0.35">
      <c r="A135" s="398"/>
      <c r="B135" s="399"/>
      <c r="C135" s="403" t="s">
        <v>784</v>
      </c>
      <c r="D135" s="409"/>
      <c r="E135" s="401"/>
      <c r="F135" s="411"/>
      <c r="G135" s="402">
        <f t="shared" si="3"/>
        <v>0</v>
      </c>
    </row>
    <row r="136" spans="1:7" s="160" customFormat="1" x14ac:dyDescent="0.35">
      <c r="A136" s="398"/>
      <c r="B136" s="399"/>
      <c r="C136" s="400"/>
      <c r="D136" s="409"/>
      <c r="E136" s="401"/>
      <c r="F136" s="411"/>
      <c r="G136" s="402">
        <f t="shared" si="3"/>
        <v>0</v>
      </c>
    </row>
    <row r="137" spans="1:7" s="160" customFormat="1" x14ac:dyDescent="0.35">
      <c r="A137" s="398"/>
      <c r="B137" s="399"/>
      <c r="C137" s="412" t="s">
        <v>790</v>
      </c>
      <c r="D137" s="409"/>
      <c r="E137" s="401"/>
      <c r="F137" s="411"/>
      <c r="G137" s="402">
        <f t="shared" si="3"/>
        <v>0</v>
      </c>
    </row>
    <row r="138" spans="1:7" s="160" customFormat="1" ht="24" thickBot="1" x14ac:dyDescent="0.4">
      <c r="A138" s="398"/>
      <c r="B138" s="399"/>
      <c r="C138" s="400"/>
      <c r="D138" s="409"/>
      <c r="E138" s="401"/>
      <c r="F138" s="411"/>
      <c r="G138" s="402">
        <f t="shared" si="3"/>
        <v>0</v>
      </c>
    </row>
    <row r="139" spans="1:7" s="160" customFormat="1" ht="117" thickBot="1" x14ac:dyDescent="0.4">
      <c r="A139" s="398"/>
      <c r="B139" s="399"/>
      <c r="C139" s="400" t="s">
        <v>940</v>
      </c>
      <c r="D139" s="409">
        <v>1</v>
      </c>
      <c r="E139" s="401" t="s">
        <v>756</v>
      </c>
      <c r="F139" s="411"/>
      <c r="G139" s="433">
        <f>D139*F139</f>
        <v>0</v>
      </c>
    </row>
    <row r="140" spans="1:7" s="160" customFormat="1" ht="24" thickBot="1" x14ac:dyDescent="0.4">
      <c r="A140" s="398"/>
      <c r="B140" s="399"/>
      <c r="C140" s="400"/>
      <c r="D140" s="409"/>
      <c r="E140" s="401"/>
      <c r="F140" s="411"/>
      <c r="G140" s="402"/>
    </row>
    <row r="141" spans="1:7" s="160" customFormat="1" ht="70.5" thickBot="1" x14ac:dyDescent="0.4">
      <c r="A141" s="398"/>
      <c r="B141" s="399"/>
      <c r="C141" s="400" t="s">
        <v>941</v>
      </c>
      <c r="D141" s="409">
        <v>1</v>
      </c>
      <c r="E141" s="401" t="s">
        <v>756</v>
      </c>
      <c r="F141" s="411"/>
      <c r="G141" s="433">
        <f>D141*F141</f>
        <v>0</v>
      </c>
    </row>
    <row r="142" spans="1:7" s="160" customFormat="1" x14ac:dyDescent="0.35">
      <c r="A142" s="398"/>
      <c r="B142" s="399"/>
      <c r="C142" s="400"/>
      <c r="D142" s="409"/>
      <c r="E142" s="401"/>
      <c r="F142" s="411"/>
      <c r="G142" s="402">
        <f t="shared" si="3"/>
        <v>0</v>
      </c>
    </row>
    <row r="143" spans="1:7" s="160" customFormat="1" ht="116.25" x14ac:dyDescent="0.35">
      <c r="A143" s="398"/>
      <c r="B143" s="399"/>
      <c r="C143" s="400" t="s">
        <v>795</v>
      </c>
      <c r="D143" s="409">
        <v>434</v>
      </c>
      <c r="E143" s="401" t="s">
        <v>772</v>
      </c>
      <c r="F143" s="411"/>
      <c r="G143" s="402">
        <f>D143*F143</f>
        <v>0</v>
      </c>
    </row>
    <row r="144" spans="1:7" s="160" customFormat="1" x14ac:dyDescent="0.35">
      <c r="A144" s="398"/>
      <c r="B144" s="399"/>
      <c r="C144" s="400"/>
      <c r="D144" s="409"/>
      <c r="E144" s="401"/>
      <c r="F144" s="411"/>
      <c r="G144" s="402">
        <f t="shared" si="3"/>
        <v>0</v>
      </c>
    </row>
    <row r="145" spans="1:7" s="160" customFormat="1" ht="69.75" x14ac:dyDescent="0.35">
      <c r="A145" s="398"/>
      <c r="B145" s="399"/>
      <c r="C145" s="400" t="s">
        <v>796</v>
      </c>
      <c r="D145" s="409">
        <v>31</v>
      </c>
      <c r="E145" s="401" t="s">
        <v>26</v>
      </c>
      <c r="F145" s="411"/>
      <c r="G145" s="402">
        <f>D145*F145</f>
        <v>0</v>
      </c>
    </row>
    <row r="146" spans="1:7" s="160" customFormat="1" x14ac:dyDescent="0.35">
      <c r="A146" s="398"/>
      <c r="B146" s="399"/>
      <c r="C146" s="400"/>
      <c r="D146" s="409"/>
      <c r="E146" s="401"/>
      <c r="F146" s="411"/>
      <c r="G146" s="402">
        <f t="shared" si="3"/>
        <v>0</v>
      </c>
    </row>
    <row r="147" spans="1:7" s="160" customFormat="1" ht="116.25" x14ac:dyDescent="0.35">
      <c r="A147" s="398"/>
      <c r="B147" s="399"/>
      <c r="C147" s="400" t="s">
        <v>797</v>
      </c>
      <c r="D147" s="409">
        <v>94</v>
      </c>
      <c r="E147" s="401" t="s">
        <v>26</v>
      </c>
      <c r="F147" s="411"/>
      <c r="G147" s="402">
        <f>D147*F147</f>
        <v>0</v>
      </c>
    </row>
    <row r="148" spans="1:7" s="160" customFormat="1" x14ac:dyDescent="0.35">
      <c r="A148" s="398"/>
      <c r="B148" s="399"/>
      <c r="C148" s="400"/>
      <c r="D148" s="409"/>
      <c r="E148" s="401"/>
      <c r="F148" s="411"/>
      <c r="G148" s="402">
        <f t="shared" ref="G148:G157" si="4">ROUND(D148*F148,2)</f>
        <v>0</v>
      </c>
    </row>
    <row r="149" spans="1:7" s="160" customFormat="1" x14ac:dyDescent="0.35">
      <c r="A149" s="398"/>
      <c r="B149" s="399"/>
      <c r="C149" s="400"/>
      <c r="D149" s="409"/>
      <c r="E149" s="401"/>
      <c r="F149" s="411"/>
      <c r="G149" s="402">
        <f t="shared" si="4"/>
        <v>0</v>
      </c>
    </row>
    <row r="150" spans="1:7" s="160" customFormat="1" x14ac:dyDescent="0.35">
      <c r="A150" s="398"/>
      <c r="B150" s="399"/>
      <c r="C150" s="400"/>
      <c r="D150" s="409"/>
      <c r="E150" s="401"/>
      <c r="F150" s="411"/>
      <c r="G150" s="402">
        <f t="shared" si="4"/>
        <v>0</v>
      </c>
    </row>
    <row r="151" spans="1:7" s="160" customFormat="1" x14ac:dyDescent="0.35">
      <c r="A151" s="398"/>
      <c r="B151" s="399"/>
      <c r="C151" s="400"/>
      <c r="D151" s="409"/>
      <c r="E151" s="401"/>
      <c r="F151" s="411"/>
      <c r="G151" s="402">
        <f t="shared" si="4"/>
        <v>0</v>
      </c>
    </row>
    <row r="152" spans="1:7" s="160" customFormat="1" x14ac:dyDescent="0.35">
      <c r="A152" s="398"/>
      <c r="B152" s="399"/>
      <c r="C152" s="400"/>
      <c r="D152" s="409"/>
      <c r="E152" s="401"/>
      <c r="F152" s="411"/>
      <c r="G152" s="402">
        <f t="shared" si="4"/>
        <v>0</v>
      </c>
    </row>
    <row r="153" spans="1:7" s="160" customFormat="1" x14ac:dyDescent="0.35">
      <c r="A153" s="398"/>
      <c r="B153" s="399"/>
      <c r="C153" s="400"/>
      <c r="D153" s="409"/>
      <c r="E153" s="401"/>
      <c r="F153" s="411"/>
      <c r="G153" s="402">
        <f t="shared" si="4"/>
        <v>0</v>
      </c>
    </row>
    <row r="154" spans="1:7" s="160" customFormat="1" ht="24" thickBot="1" x14ac:dyDescent="0.4">
      <c r="A154" s="398"/>
      <c r="B154" s="399"/>
      <c r="C154" s="400"/>
      <c r="D154" s="409"/>
      <c r="E154" s="401"/>
      <c r="F154" s="411"/>
      <c r="G154" s="402">
        <f t="shared" si="4"/>
        <v>0</v>
      </c>
    </row>
    <row r="155" spans="1:7" s="160" customFormat="1" ht="24" thickBot="1" x14ac:dyDescent="0.4">
      <c r="A155" s="398"/>
      <c r="B155" s="399"/>
      <c r="C155" s="404" t="s">
        <v>760</v>
      </c>
      <c r="D155" s="409"/>
      <c r="E155" s="401"/>
      <c r="F155" s="411"/>
      <c r="G155" s="405">
        <f>SUM(G135:G154)</f>
        <v>0</v>
      </c>
    </row>
    <row r="156" spans="1:7" s="160" customFormat="1" x14ac:dyDescent="0.35">
      <c r="A156" s="398"/>
      <c r="B156" s="399"/>
      <c r="C156" s="400"/>
      <c r="D156" s="409"/>
      <c r="E156" s="401"/>
      <c r="F156" s="411"/>
      <c r="G156" s="402">
        <f t="shared" si="4"/>
        <v>0</v>
      </c>
    </row>
    <row r="157" spans="1:7" s="160" customFormat="1" ht="24" thickBot="1" x14ac:dyDescent="0.4">
      <c r="A157" s="398"/>
      <c r="B157" s="399"/>
      <c r="C157" s="400"/>
      <c r="D157" s="409"/>
      <c r="E157" s="401"/>
      <c r="F157" s="411"/>
      <c r="G157" s="402">
        <f t="shared" si="4"/>
        <v>0</v>
      </c>
    </row>
    <row r="158" spans="1:7" x14ac:dyDescent="0.35">
      <c r="A158" s="383"/>
      <c r="B158" s="384"/>
      <c r="C158" s="385"/>
      <c r="D158" s="386"/>
      <c r="E158" s="387"/>
      <c r="F158" s="410"/>
      <c r="G158" s="387"/>
    </row>
    <row r="159" spans="1:7" s="160" customFormat="1" x14ac:dyDescent="0.35">
      <c r="A159" s="388"/>
      <c r="B159" s="389"/>
      <c r="C159" s="390"/>
      <c r="D159" s="391"/>
      <c r="E159" s="391"/>
      <c r="F159" s="393" t="s">
        <v>2</v>
      </c>
      <c r="G159" s="393"/>
    </row>
    <row r="160" spans="1:7" s="160" customFormat="1" ht="24" thickBot="1" x14ac:dyDescent="0.4">
      <c r="A160" s="394"/>
      <c r="B160" s="395"/>
      <c r="C160" s="396" t="s">
        <v>753</v>
      </c>
      <c r="D160" s="397" t="s">
        <v>3</v>
      </c>
      <c r="E160" s="397" t="s">
        <v>1</v>
      </c>
      <c r="F160" s="397" t="s">
        <v>4</v>
      </c>
      <c r="G160" s="397" t="s">
        <v>5</v>
      </c>
    </row>
    <row r="161" spans="1:7" s="160" customFormat="1" x14ac:dyDescent="0.35">
      <c r="A161" s="398"/>
      <c r="B161" s="399"/>
      <c r="C161" s="400"/>
      <c r="D161" s="409"/>
      <c r="E161" s="401"/>
      <c r="F161" s="411"/>
      <c r="G161" s="402">
        <f t="shared" ref="G161:G163" si="5">ROUND(D161*F161,2)</f>
        <v>0</v>
      </c>
    </row>
    <row r="162" spans="1:7" s="160" customFormat="1" ht="46.5" x14ac:dyDescent="0.35">
      <c r="A162" s="398"/>
      <c r="B162" s="399"/>
      <c r="C162" s="403" t="s">
        <v>792</v>
      </c>
      <c r="D162" s="409"/>
      <c r="E162" s="401"/>
      <c r="F162" s="411"/>
      <c r="G162" s="402">
        <f t="shared" si="5"/>
        <v>0</v>
      </c>
    </row>
    <row r="163" spans="1:7" s="160" customFormat="1" x14ac:dyDescent="0.35">
      <c r="A163" s="398"/>
      <c r="B163" s="399"/>
      <c r="C163" s="400"/>
      <c r="D163" s="409"/>
      <c r="E163" s="401"/>
      <c r="F163" s="411"/>
      <c r="G163" s="402">
        <f t="shared" si="5"/>
        <v>0</v>
      </c>
    </row>
    <row r="164" spans="1:7" s="160" customFormat="1" ht="232.5" x14ac:dyDescent="0.35">
      <c r="A164" s="398"/>
      <c r="B164" s="399"/>
      <c r="C164" s="400" t="s">
        <v>891</v>
      </c>
      <c r="D164" s="409">
        <v>58</v>
      </c>
      <c r="E164" s="401" t="s">
        <v>772</v>
      </c>
      <c r="F164" s="411"/>
      <c r="G164" s="402">
        <f>D164*F164</f>
        <v>0</v>
      </c>
    </row>
    <row r="165" spans="1:7" s="160" customFormat="1" x14ac:dyDescent="0.35">
      <c r="A165" s="398"/>
      <c r="B165" s="399"/>
      <c r="C165" s="400"/>
      <c r="D165" s="409"/>
      <c r="E165" s="401"/>
      <c r="F165" s="411"/>
      <c r="G165" s="402">
        <f t="shared" ref="G165:G214" si="6">ROUND(D165*F165,2)</f>
        <v>0</v>
      </c>
    </row>
    <row r="166" spans="1:7" s="160" customFormat="1" ht="232.5" x14ac:dyDescent="0.35">
      <c r="A166" s="398"/>
      <c r="B166" s="399"/>
      <c r="C166" s="400" t="s">
        <v>793</v>
      </c>
      <c r="D166" s="409">
        <v>65</v>
      </c>
      <c r="E166" s="401" t="s">
        <v>468</v>
      </c>
      <c r="F166" s="411"/>
      <c r="G166" s="402">
        <f>D166*F166</f>
        <v>0</v>
      </c>
    </row>
    <row r="167" spans="1:7" s="160" customFormat="1" x14ac:dyDescent="0.35">
      <c r="A167" s="398"/>
      <c r="B167" s="399"/>
      <c r="C167" s="400"/>
      <c r="D167" s="409"/>
      <c r="E167" s="401"/>
      <c r="F167" s="411"/>
      <c r="G167" s="402">
        <f t="shared" si="6"/>
        <v>0</v>
      </c>
    </row>
    <row r="168" spans="1:7" s="160" customFormat="1" ht="63.75" customHeight="1" x14ac:dyDescent="0.35">
      <c r="A168" s="398"/>
      <c r="B168" s="399"/>
      <c r="C168" s="413"/>
      <c r="D168" s="409"/>
      <c r="E168" s="401"/>
      <c r="F168" s="411"/>
      <c r="G168" s="402"/>
    </row>
    <row r="169" spans="1:7" s="160" customFormat="1" ht="87" customHeight="1" x14ac:dyDescent="0.35">
      <c r="A169" s="398"/>
      <c r="B169" s="399"/>
      <c r="C169" s="400"/>
      <c r="D169" s="409"/>
      <c r="E169" s="401"/>
      <c r="F169" s="411"/>
      <c r="G169" s="402"/>
    </row>
    <row r="170" spans="1:7" s="160" customFormat="1" ht="69.75" customHeight="1" x14ac:dyDescent="0.35">
      <c r="A170" s="398"/>
      <c r="B170" s="399"/>
      <c r="C170" s="400"/>
      <c r="D170" s="409"/>
      <c r="E170" s="401"/>
      <c r="F170" s="411"/>
      <c r="G170" s="402"/>
    </row>
    <row r="171" spans="1:7" s="160" customFormat="1" ht="95.25" customHeight="1" x14ac:dyDescent="0.35">
      <c r="A171" s="398"/>
      <c r="B171" s="399"/>
      <c r="C171" s="400"/>
      <c r="D171" s="409"/>
      <c r="E171" s="401"/>
      <c r="F171" s="411"/>
      <c r="G171" s="402"/>
    </row>
    <row r="172" spans="1:7" s="160" customFormat="1" x14ac:dyDescent="0.35">
      <c r="A172" s="398"/>
      <c r="B172" s="399"/>
      <c r="C172" s="400"/>
      <c r="D172" s="409"/>
      <c r="E172" s="401"/>
      <c r="F172" s="411"/>
      <c r="G172" s="402"/>
    </row>
    <row r="173" spans="1:7" s="160" customFormat="1" x14ac:dyDescent="0.35">
      <c r="A173" s="398"/>
      <c r="B173" s="399"/>
      <c r="C173" s="400"/>
      <c r="D173" s="409"/>
      <c r="E173" s="401"/>
      <c r="F173" s="411"/>
      <c r="G173" s="402">
        <f t="shared" si="6"/>
        <v>0</v>
      </c>
    </row>
    <row r="174" spans="1:7" s="160" customFormat="1" ht="69.75" x14ac:dyDescent="0.35">
      <c r="A174" s="398"/>
      <c r="B174" s="399"/>
      <c r="C174" s="400" t="s">
        <v>794</v>
      </c>
      <c r="D174" s="409">
        <v>1</v>
      </c>
      <c r="E174" s="401" t="s">
        <v>756</v>
      </c>
      <c r="F174" s="411"/>
      <c r="G174" s="402">
        <f>D174*F174</f>
        <v>0</v>
      </c>
    </row>
    <row r="175" spans="1:7" s="160" customFormat="1" ht="24" thickBot="1" x14ac:dyDescent="0.4">
      <c r="A175" s="398"/>
      <c r="B175" s="399"/>
      <c r="C175" s="400"/>
      <c r="D175" s="409"/>
      <c r="E175" s="401"/>
      <c r="F175" s="411"/>
      <c r="G175" s="402">
        <f t="shared" si="6"/>
        <v>0</v>
      </c>
    </row>
    <row r="176" spans="1:7" s="160" customFormat="1" ht="24" thickBot="1" x14ac:dyDescent="0.4">
      <c r="A176" s="398"/>
      <c r="B176" s="399"/>
      <c r="C176" s="404" t="s">
        <v>760</v>
      </c>
      <c r="D176" s="409"/>
      <c r="E176" s="401"/>
      <c r="F176" s="411"/>
      <c r="G176" s="405">
        <f>SUM(G163:G175)</f>
        <v>0</v>
      </c>
    </row>
    <row r="177" spans="1:7" s="160" customFormat="1" x14ac:dyDescent="0.35">
      <c r="A177" s="398"/>
      <c r="B177" s="399"/>
      <c r="C177" s="400"/>
      <c r="D177" s="409"/>
      <c r="E177" s="401"/>
      <c r="F177" s="411"/>
      <c r="G177" s="402">
        <f t="shared" si="6"/>
        <v>0</v>
      </c>
    </row>
    <row r="178" spans="1:7" s="160" customFormat="1" ht="24" thickBot="1" x14ac:dyDescent="0.4">
      <c r="A178" s="398"/>
      <c r="B178" s="399"/>
      <c r="C178" s="400"/>
      <c r="D178" s="409"/>
      <c r="E178" s="401"/>
      <c r="F178" s="411"/>
      <c r="G178" s="402">
        <f t="shared" si="6"/>
        <v>0</v>
      </c>
    </row>
    <row r="179" spans="1:7" ht="18" customHeight="1" x14ac:dyDescent="0.35">
      <c r="A179" s="383"/>
      <c r="B179" s="384"/>
      <c r="C179" s="385"/>
      <c r="D179" s="386"/>
      <c r="E179" s="387"/>
      <c r="F179" s="410"/>
      <c r="G179" s="387"/>
    </row>
    <row r="180" spans="1:7" s="160" customFormat="1" x14ac:dyDescent="0.35">
      <c r="A180" s="388"/>
      <c r="B180" s="389"/>
      <c r="C180" s="390"/>
      <c r="D180" s="391"/>
      <c r="E180" s="391"/>
      <c r="F180" s="393" t="s">
        <v>2</v>
      </c>
      <c r="G180" s="393"/>
    </row>
    <row r="181" spans="1:7" s="160" customFormat="1" ht="24" thickBot="1" x14ac:dyDescent="0.4">
      <c r="A181" s="394"/>
      <c r="B181" s="395"/>
      <c r="C181" s="396" t="s">
        <v>753</v>
      </c>
      <c r="D181" s="397" t="s">
        <v>3</v>
      </c>
      <c r="E181" s="397" t="s">
        <v>1</v>
      </c>
      <c r="F181" s="397" t="s">
        <v>4</v>
      </c>
      <c r="G181" s="397" t="s">
        <v>5</v>
      </c>
    </row>
    <row r="182" spans="1:7" s="160" customFormat="1" ht="18" customHeight="1" x14ac:dyDescent="0.35">
      <c r="A182" s="398"/>
      <c r="B182" s="399"/>
      <c r="C182" s="400"/>
      <c r="D182" s="409"/>
      <c r="E182" s="401"/>
      <c r="F182" s="411"/>
      <c r="G182" s="402">
        <f t="shared" si="6"/>
        <v>0</v>
      </c>
    </row>
    <row r="183" spans="1:7" s="160" customFormat="1" x14ac:dyDescent="0.35">
      <c r="A183" s="398"/>
      <c r="B183" s="399"/>
      <c r="C183" s="412" t="s">
        <v>798</v>
      </c>
      <c r="D183" s="409"/>
      <c r="E183" s="401"/>
      <c r="F183" s="411"/>
      <c r="G183" s="402">
        <f t="shared" si="6"/>
        <v>0</v>
      </c>
    </row>
    <row r="184" spans="1:7" s="160" customFormat="1" ht="16.5" customHeight="1" x14ac:dyDescent="0.35">
      <c r="A184" s="398"/>
      <c r="B184" s="399"/>
      <c r="C184" s="400"/>
      <c r="D184" s="409"/>
      <c r="E184" s="401"/>
      <c r="F184" s="411"/>
      <c r="G184" s="402">
        <f t="shared" si="6"/>
        <v>0</v>
      </c>
    </row>
    <row r="185" spans="1:7" s="160" customFormat="1" ht="93" x14ac:dyDescent="0.35">
      <c r="A185" s="398"/>
      <c r="B185" s="399"/>
      <c r="C185" s="400" t="s">
        <v>800</v>
      </c>
      <c r="D185" s="409">
        <v>1</v>
      </c>
      <c r="E185" s="401" t="s">
        <v>756</v>
      </c>
      <c r="F185" s="411"/>
      <c r="G185" s="402">
        <f>D185*F185</f>
        <v>0</v>
      </c>
    </row>
    <row r="186" spans="1:7" s="160" customFormat="1" ht="15.75" customHeight="1" x14ac:dyDescent="0.35">
      <c r="A186" s="398"/>
      <c r="B186" s="399"/>
      <c r="C186" s="400"/>
      <c r="D186" s="409"/>
      <c r="E186" s="401"/>
      <c r="F186" s="411"/>
      <c r="G186" s="402">
        <f t="shared" si="6"/>
        <v>0</v>
      </c>
    </row>
    <row r="187" spans="1:7" s="160" customFormat="1" ht="93" x14ac:dyDescent="0.35">
      <c r="A187" s="398"/>
      <c r="B187" s="399"/>
      <c r="C187" s="400" t="s">
        <v>799</v>
      </c>
      <c r="D187" s="409">
        <v>1</v>
      </c>
      <c r="E187" s="401" t="s">
        <v>756</v>
      </c>
      <c r="F187" s="411"/>
      <c r="G187" s="402">
        <f>D187*F187</f>
        <v>0</v>
      </c>
    </row>
    <row r="188" spans="1:7" s="160" customFormat="1" ht="18.75" customHeight="1" x14ac:dyDescent="0.35">
      <c r="A188" s="398"/>
      <c r="B188" s="399"/>
      <c r="C188" s="400"/>
      <c r="D188" s="409"/>
      <c r="E188" s="401"/>
      <c r="F188" s="411"/>
      <c r="G188" s="402">
        <f t="shared" si="6"/>
        <v>0</v>
      </c>
    </row>
    <row r="189" spans="1:7" s="160" customFormat="1" ht="93" x14ac:dyDescent="0.35">
      <c r="A189" s="398"/>
      <c r="B189" s="399"/>
      <c r="C189" s="400" t="s">
        <v>801</v>
      </c>
      <c r="D189" s="409">
        <v>1</v>
      </c>
      <c r="E189" s="401" t="s">
        <v>756</v>
      </c>
      <c r="F189" s="411"/>
      <c r="G189" s="402">
        <f>D189*F189</f>
        <v>0</v>
      </c>
    </row>
    <row r="190" spans="1:7" s="160" customFormat="1" ht="16.5" customHeight="1" x14ac:dyDescent="0.35">
      <c r="A190" s="398"/>
      <c r="B190" s="399"/>
      <c r="C190" s="400"/>
      <c r="D190" s="409"/>
      <c r="E190" s="401"/>
      <c r="F190" s="411"/>
      <c r="G190" s="402">
        <f t="shared" si="6"/>
        <v>0</v>
      </c>
    </row>
    <row r="191" spans="1:7" s="160" customFormat="1" ht="93" x14ac:dyDescent="0.35">
      <c r="A191" s="398"/>
      <c r="B191" s="399"/>
      <c r="C191" s="400" t="s">
        <v>802</v>
      </c>
      <c r="D191" s="409">
        <v>1</v>
      </c>
      <c r="E191" s="401" t="s">
        <v>756</v>
      </c>
      <c r="F191" s="411"/>
      <c r="G191" s="402">
        <f>D191*F191</f>
        <v>0</v>
      </c>
    </row>
    <row r="192" spans="1:7" s="160" customFormat="1" ht="16.5" customHeight="1" x14ac:dyDescent="0.35">
      <c r="A192" s="398"/>
      <c r="B192" s="399"/>
      <c r="C192" s="400"/>
      <c r="D192" s="409"/>
      <c r="E192" s="401"/>
      <c r="F192" s="411"/>
      <c r="G192" s="402">
        <f t="shared" si="6"/>
        <v>0</v>
      </c>
    </row>
    <row r="193" spans="1:7" s="160" customFormat="1" ht="69.75" x14ac:dyDescent="0.35">
      <c r="A193" s="398"/>
      <c r="B193" s="399"/>
      <c r="C193" s="400" t="s">
        <v>817</v>
      </c>
      <c r="D193" s="409">
        <v>6</v>
      </c>
      <c r="E193" s="401" t="s">
        <v>761</v>
      </c>
      <c r="F193" s="411"/>
      <c r="G193" s="402">
        <f>D193*F193</f>
        <v>0</v>
      </c>
    </row>
    <row r="194" spans="1:7" s="160" customFormat="1" ht="18" customHeight="1" x14ac:dyDescent="0.35">
      <c r="A194" s="398"/>
      <c r="B194" s="399"/>
      <c r="C194" s="400"/>
      <c r="D194" s="409"/>
      <c r="E194" s="401"/>
      <c r="F194" s="411"/>
      <c r="G194" s="402">
        <f t="shared" si="6"/>
        <v>0</v>
      </c>
    </row>
    <row r="195" spans="1:7" s="160" customFormat="1" ht="93" x14ac:dyDescent="0.35">
      <c r="A195" s="398"/>
      <c r="B195" s="399"/>
      <c r="C195" s="400" t="s">
        <v>892</v>
      </c>
      <c r="D195" s="409">
        <v>35</v>
      </c>
      <c r="E195" s="401" t="s">
        <v>468</v>
      </c>
      <c r="F195" s="411"/>
      <c r="G195" s="402">
        <f>D195*F195</f>
        <v>0</v>
      </c>
    </row>
    <row r="196" spans="1:7" s="160" customFormat="1" ht="19.5" customHeight="1" x14ac:dyDescent="0.35">
      <c r="A196" s="398"/>
      <c r="B196" s="399"/>
      <c r="C196" s="400"/>
      <c r="D196" s="409"/>
      <c r="E196" s="401"/>
      <c r="F196" s="411"/>
      <c r="G196" s="402">
        <f t="shared" si="6"/>
        <v>0</v>
      </c>
    </row>
    <row r="197" spans="1:7" s="160" customFormat="1" ht="69.75" x14ac:dyDescent="0.35">
      <c r="A197" s="398"/>
      <c r="B197" s="399"/>
      <c r="C197" s="400" t="s">
        <v>840</v>
      </c>
      <c r="D197" s="409">
        <v>340</v>
      </c>
      <c r="E197" s="401" t="s">
        <v>772</v>
      </c>
      <c r="F197" s="411"/>
      <c r="G197" s="402">
        <f>D197*F197</f>
        <v>0</v>
      </c>
    </row>
    <row r="198" spans="1:7" s="160" customFormat="1" ht="19.5" customHeight="1" x14ac:dyDescent="0.35">
      <c r="A198" s="398"/>
      <c r="B198" s="399"/>
      <c r="C198" s="400"/>
      <c r="D198" s="409"/>
      <c r="E198" s="401"/>
      <c r="F198" s="411"/>
      <c r="G198" s="402">
        <f t="shared" si="6"/>
        <v>0</v>
      </c>
    </row>
    <row r="199" spans="1:7" s="160" customFormat="1" ht="116.25" x14ac:dyDescent="0.35">
      <c r="A199" s="398"/>
      <c r="B199" s="399"/>
      <c r="C199" s="400" t="s">
        <v>839</v>
      </c>
      <c r="D199" s="409">
        <v>92</v>
      </c>
      <c r="E199" s="401" t="s">
        <v>772</v>
      </c>
      <c r="F199" s="411"/>
      <c r="G199" s="402">
        <f>D199*F199</f>
        <v>0</v>
      </c>
    </row>
    <row r="200" spans="1:7" s="160" customFormat="1" ht="18" customHeight="1" x14ac:dyDescent="0.35">
      <c r="A200" s="398"/>
      <c r="B200" s="399"/>
      <c r="C200" s="400"/>
      <c r="D200" s="409"/>
      <c r="E200" s="401"/>
      <c r="F200" s="411"/>
      <c r="G200" s="402">
        <f t="shared" si="6"/>
        <v>0</v>
      </c>
    </row>
    <row r="201" spans="1:7" s="160" customFormat="1" ht="139.5" x14ac:dyDescent="0.35">
      <c r="A201" s="398"/>
      <c r="B201" s="399"/>
      <c r="C201" s="400" t="s">
        <v>842</v>
      </c>
      <c r="D201" s="409">
        <v>6</v>
      </c>
      <c r="E201" s="401" t="s">
        <v>761</v>
      </c>
      <c r="F201" s="411"/>
      <c r="G201" s="402">
        <f>D201*F201</f>
        <v>0</v>
      </c>
    </row>
    <row r="202" spans="1:7" s="160" customFormat="1" ht="24" thickBot="1" x14ac:dyDescent="0.4">
      <c r="A202" s="398"/>
      <c r="B202" s="399"/>
      <c r="C202" s="400"/>
      <c r="D202" s="409"/>
      <c r="E202" s="401"/>
      <c r="F202" s="411"/>
      <c r="G202" s="402">
        <f>ROUND(D202*F202,2)</f>
        <v>0</v>
      </c>
    </row>
    <row r="203" spans="1:7" s="160" customFormat="1" ht="24" thickBot="1" x14ac:dyDescent="0.4">
      <c r="A203" s="398"/>
      <c r="B203" s="399"/>
      <c r="C203" s="404" t="s">
        <v>760</v>
      </c>
      <c r="D203" s="409"/>
      <c r="E203" s="401"/>
      <c r="F203" s="411"/>
      <c r="G203" s="405">
        <f>SUM(G184:G202)</f>
        <v>0</v>
      </c>
    </row>
    <row r="204" spans="1:7" s="160" customFormat="1" ht="24" thickBot="1" x14ac:dyDescent="0.4">
      <c r="A204" s="398"/>
      <c r="B204" s="399"/>
      <c r="C204" s="400"/>
      <c r="D204" s="409"/>
      <c r="E204" s="401"/>
      <c r="F204" s="411"/>
      <c r="G204" s="402">
        <f t="shared" si="6"/>
        <v>0</v>
      </c>
    </row>
    <row r="205" spans="1:7" ht="18.75" customHeight="1" x14ac:dyDescent="0.35">
      <c r="A205" s="383"/>
      <c r="B205" s="384"/>
      <c r="C205" s="385"/>
      <c r="D205" s="386"/>
      <c r="E205" s="387"/>
      <c r="F205" s="410"/>
      <c r="G205" s="387"/>
    </row>
    <row r="206" spans="1:7" s="160" customFormat="1" ht="18" customHeight="1" x14ac:dyDescent="0.35">
      <c r="A206" s="388"/>
      <c r="B206" s="389"/>
      <c r="C206" s="390"/>
      <c r="D206" s="391"/>
      <c r="E206" s="391"/>
      <c r="F206" s="393" t="s">
        <v>2</v>
      </c>
      <c r="G206" s="393"/>
    </row>
    <row r="207" spans="1:7" s="160" customFormat="1" ht="24" thickBot="1" x14ac:dyDescent="0.4">
      <c r="A207" s="394"/>
      <c r="B207" s="395"/>
      <c r="C207" s="396" t="s">
        <v>753</v>
      </c>
      <c r="D207" s="397" t="s">
        <v>3</v>
      </c>
      <c r="E207" s="397" t="s">
        <v>1</v>
      </c>
      <c r="F207" s="397" t="s">
        <v>4</v>
      </c>
      <c r="G207" s="397" t="s">
        <v>5</v>
      </c>
    </row>
    <row r="208" spans="1:7" s="160" customFormat="1" x14ac:dyDescent="0.35">
      <c r="A208" s="398"/>
      <c r="B208" s="399"/>
      <c r="C208" s="400"/>
      <c r="D208" s="409"/>
      <c r="E208" s="401"/>
      <c r="F208" s="411"/>
      <c r="G208" s="402">
        <f t="shared" ref="G208" si="7">ROUND(D208*F208,2)</f>
        <v>0</v>
      </c>
    </row>
    <row r="209" spans="1:7" s="160" customFormat="1" x14ac:dyDescent="0.35">
      <c r="A209" s="398"/>
      <c r="B209" s="399"/>
      <c r="C209" s="412" t="s">
        <v>803</v>
      </c>
      <c r="D209" s="409"/>
      <c r="E209" s="401"/>
      <c r="F209" s="411"/>
      <c r="G209" s="402">
        <f t="shared" si="6"/>
        <v>0</v>
      </c>
    </row>
    <row r="210" spans="1:7" s="160" customFormat="1" ht="18" customHeight="1" x14ac:dyDescent="0.35">
      <c r="A210" s="398"/>
      <c r="B210" s="399"/>
      <c r="C210" s="400"/>
      <c r="D210" s="409"/>
      <c r="E210" s="401"/>
      <c r="F210" s="411"/>
      <c r="G210" s="402">
        <f t="shared" si="6"/>
        <v>0</v>
      </c>
    </row>
    <row r="211" spans="1:7" s="160" customFormat="1" ht="69.75" x14ac:dyDescent="0.35">
      <c r="A211" s="398"/>
      <c r="B211" s="399"/>
      <c r="C211" s="400" t="s">
        <v>893</v>
      </c>
      <c r="D211" s="409">
        <v>54</v>
      </c>
      <c r="E211" s="401" t="s">
        <v>777</v>
      </c>
      <c r="F211" s="411"/>
      <c r="G211" s="402">
        <f>D211*F211</f>
        <v>0</v>
      </c>
    </row>
    <row r="212" spans="1:7" s="160" customFormat="1" ht="17.25" customHeight="1" x14ac:dyDescent="0.35">
      <c r="A212" s="398"/>
      <c r="B212" s="399"/>
      <c r="C212" s="400"/>
      <c r="D212" s="409"/>
      <c r="E212" s="401"/>
      <c r="F212" s="411"/>
      <c r="G212" s="402">
        <f t="shared" si="6"/>
        <v>0</v>
      </c>
    </row>
    <row r="213" spans="1:7" s="160" customFormat="1" ht="46.5" x14ac:dyDescent="0.35">
      <c r="A213" s="398"/>
      <c r="B213" s="399"/>
      <c r="C213" s="400" t="s">
        <v>804</v>
      </c>
      <c r="D213" s="409">
        <v>12</v>
      </c>
      <c r="E213" s="401" t="s">
        <v>777</v>
      </c>
      <c r="F213" s="411"/>
      <c r="G213" s="402">
        <f>D213*F213</f>
        <v>0</v>
      </c>
    </row>
    <row r="214" spans="1:7" s="160" customFormat="1" ht="18.75" customHeight="1" x14ac:dyDescent="0.35">
      <c r="A214" s="398"/>
      <c r="B214" s="399"/>
      <c r="C214" s="400"/>
      <c r="D214" s="409"/>
      <c r="E214" s="401"/>
      <c r="F214" s="411"/>
      <c r="G214" s="402">
        <f t="shared" si="6"/>
        <v>0</v>
      </c>
    </row>
    <row r="215" spans="1:7" s="160" customFormat="1" x14ac:dyDescent="0.35">
      <c r="A215" s="398"/>
      <c r="B215" s="399"/>
      <c r="C215" s="400" t="s">
        <v>805</v>
      </c>
      <c r="D215" s="409">
        <v>12</v>
      </c>
      <c r="E215" s="401" t="s">
        <v>777</v>
      </c>
      <c r="F215" s="411"/>
      <c r="G215" s="402">
        <f>D215*F215</f>
        <v>0</v>
      </c>
    </row>
    <row r="216" spans="1:7" s="160" customFormat="1" ht="18" customHeight="1" x14ac:dyDescent="0.35">
      <c r="A216" s="398"/>
      <c r="B216" s="399"/>
      <c r="C216" s="400"/>
      <c r="D216" s="409"/>
      <c r="E216" s="401"/>
      <c r="F216" s="411"/>
      <c r="G216" s="402">
        <f t="shared" ref="G216" si="8">ROUND(D216*F216,2)</f>
        <v>0</v>
      </c>
    </row>
    <row r="217" spans="1:7" s="160" customFormat="1" x14ac:dyDescent="0.35">
      <c r="A217" s="398"/>
      <c r="B217" s="399"/>
      <c r="C217" s="400" t="s">
        <v>806</v>
      </c>
      <c r="D217" s="409">
        <v>6</v>
      </c>
      <c r="E217" s="401" t="s">
        <v>777</v>
      </c>
      <c r="F217" s="411"/>
      <c r="G217" s="402">
        <f>D217*F217</f>
        <v>0</v>
      </c>
    </row>
    <row r="218" spans="1:7" s="160" customFormat="1" ht="15.75" customHeight="1" x14ac:dyDescent="0.35">
      <c r="A218" s="398"/>
      <c r="B218" s="399"/>
      <c r="C218" s="400"/>
      <c r="D218" s="409"/>
      <c r="E218" s="401"/>
      <c r="F218" s="411"/>
      <c r="G218" s="402">
        <f t="shared" ref="G218:G226" si="9">ROUND(D218*F218,2)</f>
        <v>0</v>
      </c>
    </row>
    <row r="219" spans="1:7" s="160" customFormat="1" x14ac:dyDescent="0.35">
      <c r="A219" s="398"/>
      <c r="B219" s="399"/>
      <c r="C219" s="400" t="s">
        <v>807</v>
      </c>
      <c r="D219" s="409">
        <v>12</v>
      </c>
      <c r="E219" s="401" t="s">
        <v>777</v>
      </c>
      <c r="F219" s="411"/>
      <c r="G219" s="402">
        <f>D219*F219</f>
        <v>0</v>
      </c>
    </row>
    <row r="220" spans="1:7" s="160" customFormat="1" ht="18.75" customHeight="1" x14ac:dyDescent="0.35">
      <c r="A220" s="398"/>
      <c r="B220" s="399"/>
      <c r="C220" s="400"/>
      <c r="D220" s="409"/>
      <c r="E220" s="401"/>
      <c r="F220" s="411"/>
      <c r="G220" s="402">
        <f t="shared" si="9"/>
        <v>0</v>
      </c>
    </row>
    <row r="221" spans="1:7" s="160" customFormat="1" ht="69.75" x14ac:dyDescent="0.35">
      <c r="A221" s="398"/>
      <c r="B221" s="399"/>
      <c r="C221" s="400" t="s">
        <v>816</v>
      </c>
      <c r="D221" s="409">
        <v>6</v>
      </c>
      <c r="E221" s="401" t="s">
        <v>777</v>
      </c>
      <c r="F221" s="411"/>
      <c r="G221" s="402">
        <f>D221*F221</f>
        <v>0</v>
      </c>
    </row>
    <row r="222" spans="1:7" s="160" customFormat="1" ht="15.75" customHeight="1" x14ac:dyDescent="0.35">
      <c r="A222" s="398"/>
      <c r="B222" s="399"/>
      <c r="C222" s="400"/>
      <c r="D222" s="409"/>
      <c r="E222" s="401"/>
      <c r="F222" s="411"/>
      <c r="G222" s="402">
        <f t="shared" si="9"/>
        <v>0</v>
      </c>
    </row>
    <row r="223" spans="1:7" s="160" customFormat="1" ht="69.75" x14ac:dyDescent="0.35">
      <c r="A223" s="398"/>
      <c r="B223" s="399"/>
      <c r="C223" s="400" t="s">
        <v>808</v>
      </c>
      <c r="D223" s="409">
        <v>6</v>
      </c>
      <c r="E223" s="401" t="s">
        <v>777</v>
      </c>
      <c r="F223" s="411"/>
      <c r="G223" s="402">
        <f>D223*F223</f>
        <v>0</v>
      </c>
    </row>
    <row r="224" spans="1:7" s="160" customFormat="1" ht="19.5" customHeight="1" x14ac:dyDescent="0.35">
      <c r="A224" s="398"/>
      <c r="B224" s="399"/>
      <c r="C224" s="400"/>
      <c r="D224" s="409"/>
      <c r="E224" s="401"/>
      <c r="F224" s="411"/>
      <c r="G224" s="402">
        <f t="shared" si="9"/>
        <v>0</v>
      </c>
    </row>
    <row r="225" spans="1:7" s="160" customFormat="1" ht="46.5" x14ac:dyDescent="0.35">
      <c r="A225" s="398"/>
      <c r="B225" s="399"/>
      <c r="C225" s="400" t="s">
        <v>809</v>
      </c>
      <c r="D225" s="409">
        <v>6</v>
      </c>
      <c r="E225" s="401" t="s">
        <v>810</v>
      </c>
      <c r="F225" s="411"/>
      <c r="G225" s="402">
        <f>D225*F225</f>
        <v>0</v>
      </c>
    </row>
    <row r="226" spans="1:7" s="160" customFormat="1" ht="17.25" customHeight="1" x14ac:dyDescent="0.35">
      <c r="A226" s="398"/>
      <c r="B226" s="399"/>
      <c r="C226" s="400"/>
      <c r="D226" s="409"/>
      <c r="E226" s="401"/>
      <c r="F226" s="411"/>
      <c r="G226" s="402">
        <f t="shared" si="9"/>
        <v>0</v>
      </c>
    </row>
    <row r="227" spans="1:7" ht="46.5" x14ac:dyDescent="0.35">
      <c r="C227" s="400" t="s">
        <v>812</v>
      </c>
      <c r="D227" s="409">
        <v>6</v>
      </c>
      <c r="E227" s="401" t="s">
        <v>777</v>
      </c>
      <c r="G227" s="402">
        <f>D227*F227</f>
        <v>0</v>
      </c>
    </row>
    <row r="228" spans="1:7" s="160" customFormat="1" ht="19.5" customHeight="1" x14ac:dyDescent="0.35">
      <c r="A228" s="398"/>
      <c r="B228" s="399"/>
      <c r="C228" s="400"/>
      <c r="D228" s="409"/>
      <c r="E228" s="401"/>
      <c r="F228" s="411"/>
      <c r="G228" s="402">
        <f t="shared" ref="G228" si="10">ROUND(D228*F228,2)</f>
        <v>0</v>
      </c>
    </row>
    <row r="229" spans="1:7" ht="46.5" x14ac:dyDescent="0.35">
      <c r="C229" s="400" t="s">
        <v>813</v>
      </c>
      <c r="D229" s="393">
        <v>12</v>
      </c>
      <c r="E229" s="401" t="s">
        <v>777</v>
      </c>
      <c r="G229" s="402">
        <f>D229*F229</f>
        <v>0</v>
      </c>
    </row>
    <row r="230" spans="1:7" s="160" customFormat="1" ht="18.75" customHeight="1" x14ac:dyDescent="0.35">
      <c r="A230" s="398"/>
      <c r="B230" s="399"/>
      <c r="C230" s="400"/>
      <c r="D230" s="409"/>
      <c r="E230" s="401"/>
      <c r="F230" s="411"/>
      <c r="G230" s="402">
        <f t="shared" ref="G230" si="11">ROUND(D230*F230,2)</f>
        <v>0</v>
      </c>
    </row>
    <row r="231" spans="1:7" ht="46.5" x14ac:dyDescent="0.35">
      <c r="C231" s="400" t="s">
        <v>811</v>
      </c>
      <c r="D231" s="393">
        <v>12</v>
      </c>
      <c r="E231" s="401" t="s">
        <v>777</v>
      </c>
      <c r="G231" s="402">
        <f>D231*F231</f>
        <v>0</v>
      </c>
    </row>
    <row r="232" spans="1:7" s="160" customFormat="1" x14ac:dyDescent="0.35">
      <c r="A232" s="398"/>
      <c r="B232" s="399"/>
      <c r="C232" s="400"/>
      <c r="D232" s="409"/>
      <c r="E232" s="401"/>
      <c r="F232" s="411"/>
      <c r="G232" s="402">
        <f t="shared" ref="G232" si="12">ROUND(D232*F232,2)</f>
        <v>0</v>
      </c>
    </row>
    <row r="233" spans="1:7" ht="46.5" x14ac:dyDescent="0.35">
      <c r="C233" s="400" t="s">
        <v>814</v>
      </c>
      <c r="D233" s="393">
        <v>6</v>
      </c>
      <c r="E233" s="401" t="s">
        <v>777</v>
      </c>
      <c r="G233" s="402">
        <f>D233*F233</f>
        <v>0</v>
      </c>
    </row>
    <row r="234" spans="1:7" s="160" customFormat="1" ht="18" customHeight="1" x14ac:dyDescent="0.35">
      <c r="A234" s="398"/>
      <c r="B234" s="399"/>
      <c r="C234" s="400"/>
      <c r="D234" s="409"/>
      <c r="E234" s="401"/>
      <c r="F234" s="411"/>
      <c r="G234" s="402">
        <f t="shared" ref="G234" si="13">ROUND(D234*F234,2)</f>
        <v>0</v>
      </c>
    </row>
    <row r="235" spans="1:7" ht="46.5" x14ac:dyDescent="0.35">
      <c r="C235" s="400" t="s">
        <v>815</v>
      </c>
      <c r="D235" s="393">
        <v>6</v>
      </c>
      <c r="E235" s="401" t="s">
        <v>777</v>
      </c>
      <c r="G235" s="402">
        <f>D235*F235</f>
        <v>0</v>
      </c>
    </row>
    <row r="236" spans="1:7" s="160" customFormat="1" ht="19.5" customHeight="1" x14ac:dyDescent="0.35">
      <c r="A236" s="398"/>
      <c r="B236" s="399"/>
      <c r="C236" s="400"/>
      <c r="D236" s="409"/>
      <c r="E236" s="401"/>
      <c r="F236" s="411"/>
      <c r="G236" s="402">
        <f t="shared" ref="G236" si="14">ROUND(D236*F236,2)</f>
        <v>0</v>
      </c>
    </row>
    <row r="237" spans="1:7" s="160" customFormat="1" ht="116.25" x14ac:dyDescent="0.35">
      <c r="A237" s="398"/>
      <c r="B237" s="399"/>
      <c r="C237" s="400" t="s">
        <v>937</v>
      </c>
      <c r="D237" s="409">
        <v>6</v>
      </c>
      <c r="E237" s="401" t="s">
        <v>761</v>
      </c>
      <c r="F237" s="411"/>
      <c r="G237" s="402">
        <f>D237*F237</f>
        <v>0</v>
      </c>
    </row>
    <row r="238" spans="1:7" s="160" customFormat="1" ht="16.5" customHeight="1" x14ac:dyDescent="0.35">
      <c r="A238" s="398"/>
      <c r="B238" s="399"/>
      <c r="C238" s="400"/>
      <c r="D238" s="409"/>
      <c r="E238" s="401"/>
      <c r="F238" s="411"/>
      <c r="G238" s="402">
        <f t="shared" ref="G238:G248" si="15">ROUND(D238*F238,2)</f>
        <v>0</v>
      </c>
    </row>
    <row r="239" spans="1:7" s="160" customFormat="1" ht="46.5" x14ac:dyDescent="0.35">
      <c r="A239" s="398"/>
      <c r="B239" s="399"/>
      <c r="C239" s="400" t="s">
        <v>822</v>
      </c>
      <c r="D239" s="409">
        <v>48</v>
      </c>
      <c r="E239" s="401" t="s">
        <v>761</v>
      </c>
      <c r="F239" s="411"/>
      <c r="G239" s="402">
        <f>D239*F239</f>
        <v>0</v>
      </c>
    </row>
    <row r="240" spans="1:7" s="160" customFormat="1" ht="24" thickBot="1" x14ac:dyDescent="0.4">
      <c r="A240" s="398"/>
      <c r="B240" s="399"/>
      <c r="C240" s="400"/>
      <c r="D240" s="409"/>
      <c r="E240" s="401"/>
      <c r="F240" s="411"/>
      <c r="G240" s="402">
        <f t="shared" si="15"/>
        <v>0</v>
      </c>
    </row>
    <row r="241" spans="1:7" s="160" customFormat="1" ht="24" thickBot="1" x14ac:dyDescent="0.4">
      <c r="A241" s="398"/>
      <c r="B241" s="399"/>
      <c r="C241" s="404" t="s">
        <v>760</v>
      </c>
      <c r="D241" s="409"/>
      <c r="E241" s="401"/>
      <c r="F241" s="411"/>
      <c r="G241" s="405">
        <f>SUM(G210:G240)</f>
        <v>0</v>
      </c>
    </row>
    <row r="242" spans="1:7" s="160" customFormat="1" ht="24" thickBot="1" x14ac:dyDescent="0.4">
      <c r="A242" s="398"/>
      <c r="B242" s="399"/>
      <c r="C242" s="400"/>
      <c r="D242" s="409"/>
      <c r="E242" s="401"/>
      <c r="F242" s="411"/>
      <c r="G242" s="402">
        <f t="shared" si="15"/>
        <v>0</v>
      </c>
    </row>
    <row r="243" spans="1:7" ht="18.75" customHeight="1" x14ac:dyDescent="0.35">
      <c r="A243" s="383"/>
      <c r="B243" s="384"/>
      <c r="C243" s="385"/>
      <c r="D243" s="386"/>
      <c r="E243" s="387"/>
      <c r="F243" s="410"/>
      <c r="G243" s="387"/>
    </row>
    <row r="244" spans="1:7" s="160" customFormat="1" x14ac:dyDescent="0.35">
      <c r="A244" s="388"/>
      <c r="B244" s="389"/>
      <c r="C244" s="390"/>
      <c r="D244" s="391"/>
      <c r="E244" s="391"/>
      <c r="F244" s="393" t="s">
        <v>2</v>
      </c>
      <c r="G244" s="393"/>
    </row>
    <row r="245" spans="1:7" s="160" customFormat="1" ht="24" thickBot="1" x14ac:dyDescent="0.4">
      <c r="A245" s="394"/>
      <c r="B245" s="395"/>
      <c r="C245" s="396" t="s">
        <v>753</v>
      </c>
      <c r="D245" s="397" t="s">
        <v>3</v>
      </c>
      <c r="E245" s="397" t="s">
        <v>1</v>
      </c>
      <c r="F245" s="397" t="s">
        <v>4</v>
      </c>
      <c r="G245" s="397" t="s">
        <v>5</v>
      </c>
    </row>
    <row r="246" spans="1:7" s="160" customFormat="1" ht="18" customHeight="1" x14ac:dyDescent="0.35">
      <c r="A246" s="398"/>
      <c r="B246" s="399"/>
      <c r="C246" s="400"/>
      <c r="D246" s="409"/>
      <c r="E246" s="401"/>
      <c r="F246" s="411"/>
      <c r="G246" s="402">
        <f t="shared" si="15"/>
        <v>0</v>
      </c>
    </row>
    <row r="247" spans="1:7" s="160" customFormat="1" x14ac:dyDescent="0.35">
      <c r="A247" s="398"/>
      <c r="B247" s="399"/>
      <c r="C247" s="412" t="s">
        <v>821</v>
      </c>
      <c r="D247" s="409"/>
      <c r="E247" s="401"/>
      <c r="F247" s="411"/>
      <c r="G247" s="402">
        <f t="shared" si="15"/>
        <v>0</v>
      </c>
    </row>
    <row r="248" spans="1:7" s="160" customFormat="1" x14ac:dyDescent="0.35">
      <c r="A248" s="398"/>
      <c r="B248" s="399"/>
      <c r="C248" s="400"/>
      <c r="D248" s="409"/>
      <c r="E248" s="401"/>
      <c r="F248" s="411"/>
      <c r="G248" s="402">
        <f t="shared" si="15"/>
        <v>0</v>
      </c>
    </row>
    <row r="249" spans="1:7" s="160" customFormat="1" ht="46.5" x14ac:dyDescent="0.35">
      <c r="A249" s="398"/>
      <c r="B249" s="399"/>
      <c r="C249" s="400" t="s">
        <v>848</v>
      </c>
      <c r="D249" s="409">
        <v>30</v>
      </c>
      <c r="E249" s="401" t="s">
        <v>777</v>
      </c>
      <c r="F249" s="411"/>
      <c r="G249" s="402">
        <f>D249*F249</f>
        <v>0</v>
      </c>
    </row>
    <row r="250" spans="1:7" s="160" customFormat="1" x14ac:dyDescent="0.35">
      <c r="A250" s="398"/>
      <c r="B250" s="399"/>
      <c r="C250" s="400"/>
      <c r="D250" s="409"/>
      <c r="E250" s="401"/>
      <c r="F250" s="411"/>
      <c r="G250" s="402">
        <f t="shared" ref="G250" si="16">ROUND(D250*F250,2)</f>
        <v>0</v>
      </c>
    </row>
    <row r="251" spans="1:7" s="160" customFormat="1" ht="69.75" x14ac:dyDescent="0.35">
      <c r="A251" s="398"/>
      <c r="B251" s="399"/>
      <c r="C251" s="400" t="s">
        <v>823</v>
      </c>
      <c r="D251" s="409">
        <v>6</v>
      </c>
      <c r="E251" s="401" t="s">
        <v>824</v>
      </c>
      <c r="F251" s="411"/>
      <c r="G251" s="402">
        <f>D251*F251</f>
        <v>0</v>
      </c>
    </row>
    <row r="252" spans="1:7" s="160" customFormat="1" x14ac:dyDescent="0.35">
      <c r="A252" s="398"/>
      <c r="B252" s="399"/>
      <c r="C252" s="400"/>
      <c r="D252" s="409"/>
      <c r="E252" s="401"/>
      <c r="F252" s="411"/>
      <c r="G252" s="402">
        <f t="shared" ref="G252:G259" si="17">ROUND(D252*F252,2)</f>
        <v>0</v>
      </c>
    </row>
    <row r="253" spans="1:7" s="160" customFormat="1" x14ac:dyDescent="0.35">
      <c r="A253" s="398"/>
      <c r="B253" s="399"/>
      <c r="C253" s="400"/>
      <c r="D253" s="409"/>
      <c r="E253" s="401"/>
      <c r="F253" s="411"/>
      <c r="G253" s="402">
        <f t="shared" si="17"/>
        <v>0</v>
      </c>
    </row>
    <row r="254" spans="1:7" s="160" customFormat="1" ht="162.75" x14ac:dyDescent="0.35">
      <c r="A254" s="398"/>
      <c r="B254" s="399"/>
      <c r="C254" s="400" t="s">
        <v>841</v>
      </c>
      <c r="D254" s="409">
        <v>30</v>
      </c>
      <c r="E254" s="401" t="s">
        <v>761</v>
      </c>
      <c r="F254" s="411"/>
      <c r="G254" s="402">
        <f>D254*F254</f>
        <v>0</v>
      </c>
    </row>
    <row r="255" spans="1:7" s="160" customFormat="1" ht="24" thickBot="1" x14ac:dyDescent="0.4">
      <c r="A255" s="398"/>
      <c r="B255" s="399"/>
      <c r="C255" s="400"/>
      <c r="D255" s="409"/>
      <c r="E255" s="401"/>
      <c r="F255" s="411"/>
      <c r="G255" s="402">
        <f t="shared" si="17"/>
        <v>0</v>
      </c>
    </row>
    <row r="256" spans="1:7" s="160" customFormat="1" ht="93.75" thickBot="1" x14ac:dyDescent="0.4">
      <c r="A256" s="398"/>
      <c r="B256" s="399"/>
      <c r="C256" s="400" t="s">
        <v>950</v>
      </c>
      <c r="D256" s="409">
        <v>1</v>
      </c>
      <c r="E256" s="401" t="s">
        <v>819</v>
      </c>
      <c r="F256" s="411"/>
      <c r="G256" s="433">
        <f>D256*F256</f>
        <v>0</v>
      </c>
    </row>
    <row r="257" spans="1:7" s="160" customFormat="1" ht="24" thickBot="1" x14ac:dyDescent="0.4">
      <c r="A257" s="398"/>
      <c r="B257" s="399"/>
      <c r="C257" s="400"/>
      <c r="D257" s="409"/>
      <c r="E257" s="401"/>
      <c r="F257" s="411"/>
      <c r="G257" s="402">
        <f t="shared" si="17"/>
        <v>0</v>
      </c>
    </row>
    <row r="258" spans="1:7" s="160" customFormat="1" ht="47.25" thickBot="1" x14ac:dyDescent="0.4">
      <c r="A258" s="398"/>
      <c r="B258" s="399"/>
      <c r="C258" s="400" t="s">
        <v>954</v>
      </c>
      <c r="D258" s="409">
        <v>1</v>
      </c>
      <c r="E258" s="401" t="s">
        <v>819</v>
      </c>
      <c r="F258" s="411"/>
      <c r="G258" s="433">
        <f>D258*F258</f>
        <v>0</v>
      </c>
    </row>
    <row r="259" spans="1:7" s="160" customFormat="1" x14ac:dyDescent="0.35">
      <c r="A259" s="398"/>
      <c r="B259" s="399"/>
      <c r="C259" s="400"/>
      <c r="D259" s="409"/>
      <c r="E259" s="401"/>
      <c r="F259" s="411"/>
      <c r="G259" s="402">
        <f t="shared" si="17"/>
        <v>0</v>
      </c>
    </row>
    <row r="260" spans="1:7" s="160" customFormat="1" ht="69.75" x14ac:dyDescent="0.35">
      <c r="A260" s="398"/>
      <c r="B260" s="399"/>
      <c r="C260" s="400" t="s">
        <v>818</v>
      </c>
      <c r="D260" s="409">
        <v>1</v>
      </c>
      <c r="E260" s="401" t="s">
        <v>756</v>
      </c>
      <c r="F260" s="411"/>
      <c r="G260" s="402">
        <f>D260*F260</f>
        <v>0</v>
      </c>
    </row>
    <row r="261" spans="1:7" s="160" customFormat="1" x14ac:dyDescent="0.35">
      <c r="A261" s="398"/>
      <c r="B261" s="399"/>
      <c r="C261" s="400"/>
      <c r="D261" s="409"/>
      <c r="E261" s="401"/>
      <c r="F261" s="411"/>
      <c r="G261" s="402">
        <f t="shared" ref="G261:G324" si="18">ROUND(D261*F261,2)</f>
        <v>0</v>
      </c>
    </row>
    <row r="262" spans="1:7" s="160" customFormat="1" x14ac:dyDescent="0.35">
      <c r="A262" s="398"/>
      <c r="B262" s="399"/>
      <c r="C262" s="400"/>
      <c r="D262" s="409"/>
      <c r="E262" s="401"/>
      <c r="F262" s="411"/>
      <c r="G262" s="402">
        <f t="shared" si="18"/>
        <v>0</v>
      </c>
    </row>
    <row r="263" spans="1:7" s="160" customFormat="1" x14ac:dyDescent="0.35">
      <c r="A263" s="398"/>
      <c r="B263" s="399"/>
      <c r="C263" s="400"/>
      <c r="D263" s="409"/>
      <c r="E263" s="401"/>
      <c r="F263" s="411"/>
      <c r="G263" s="402">
        <f t="shared" si="18"/>
        <v>0</v>
      </c>
    </row>
    <row r="264" spans="1:7" s="160" customFormat="1" x14ac:dyDescent="0.35">
      <c r="A264" s="398"/>
      <c r="B264" s="399"/>
      <c r="C264" s="400"/>
      <c r="D264" s="409"/>
      <c r="E264" s="401"/>
      <c r="F264" s="411"/>
      <c r="G264" s="402">
        <f t="shared" si="18"/>
        <v>0</v>
      </c>
    </row>
    <row r="265" spans="1:7" s="160" customFormat="1" x14ac:dyDescent="0.35">
      <c r="A265" s="398"/>
      <c r="B265" s="399"/>
      <c r="C265" s="400"/>
      <c r="D265" s="409"/>
      <c r="E265" s="401"/>
      <c r="F265" s="411"/>
      <c r="G265" s="402">
        <f t="shared" si="18"/>
        <v>0</v>
      </c>
    </row>
    <row r="266" spans="1:7" s="160" customFormat="1" x14ac:dyDescent="0.35">
      <c r="A266" s="398"/>
      <c r="B266" s="399"/>
      <c r="C266" s="400"/>
      <c r="D266" s="409"/>
      <c r="E266" s="401"/>
      <c r="F266" s="411"/>
      <c r="G266" s="402">
        <f t="shared" si="18"/>
        <v>0</v>
      </c>
    </row>
    <row r="267" spans="1:7" s="160" customFormat="1" x14ac:dyDescent="0.35">
      <c r="A267" s="398"/>
      <c r="B267" s="399"/>
      <c r="C267" s="400"/>
      <c r="D267" s="409"/>
      <c r="E267" s="401"/>
      <c r="F267" s="411"/>
      <c r="G267" s="402">
        <f t="shared" si="18"/>
        <v>0</v>
      </c>
    </row>
    <row r="268" spans="1:7" s="160" customFormat="1" x14ac:dyDescent="0.35">
      <c r="A268" s="398"/>
      <c r="B268" s="399"/>
      <c r="C268" s="400"/>
      <c r="D268" s="409"/>
      <c r="E268" s="401"/>
      <c r="F268" s="411"/>
      <c r="G268" s="402">
        <f t="shared" si="18"/>
        <v>0</v>
      </c>
    </row>
    <row r="269" spans="1:7" s="160" customFormat="1" x14ac:dyDescent="0.35">
      <c r="A269" s="398"/>
      <c r="B269" s="399"/>
      <c r="C269" s="400"/>
      <c r="D269" s="409"/>
      <c r="E269" s="401"/>
      <c r="F269" s="411"/>
      <c r="G269" s="402">
        <f t="shared" si="18"/>
        <v>0</v>
      </c>
    </row>
    <row r="270" spans="1:7" s="160" customFormat="1" x14ac:dyDescent="0.35">
      <c r="A270" s="398"/>
      <c r="B270" s="399"/>
      <c r="C270" s="400"/>
      <c r="D270" s="409"/>
      <c r="E270" s="401"/>
      <c r="F270" s="411"/>
      <c r="G270" s="402">
        <f t="shared" si="18"/>
        <v>0</v>
      </c>
    </row>
    <row r="271" spans="1:7" s="160" customFormat="1" x14ac:dyDescent="0.35">
      <c r="A271" s="398"/>
      <c r="B271" s="399"/>
      <c r="C271" s="400"/>
      <c r="D271" s="409"/>
      <c r="E271" s="401"/>
      <c r="F271" s="411"/>
      <c r="G271" s="402">
        <f t="shared" si="18"/>
        <v>0</v>
      </c>
    </row>
    <row r="272" spans="1:7" s="160" customFormat="1" x14ac:dyDescent="0.35">
      <c r="A272" s="398"/>
      <c r="B272" s="399"/>
      <c r="C272" s="400"/>
      <c r="D272" s="409"/>
      <c r="E272" s="401"/>
      <c r="F272" s="411"/>
      <c r="G272" s="402">
        <f t="shared" si="18"/>
        <v>0</v>
      </c>
    </row>
    <row r="273" spans="1:7" s="160" customFormat="1" x14ac:dyDescent="0.35">
      <c r="A273" s="398"/>
      <c r="B273" s="399"/>
      <c r="C273" s="400"/>
      <c r="D273" s="409"/>
      <c r="E273" s="401"/>
      <c r="F273" s="411"/>
      <c r="G273" s="402">
        <f t="shared" si="18"/>
        <v>0</v>
      </c>
    </row>
    <row r="274" spans="1:7" s="160" customFormat="1" x14ac:dyDescent="0.35">
      <c r="A274" s="398"/>
      <c r="B274" s="399"/>
      <c r="C274" s="400"/>
      <c r="D274" s="409"/>
      <c r="E274" s="401"/>
      <c r="F274" s="411"/>
      <c r="G274" s="402">
        <f t="shared" si="18"/>
        <v>0</v>
      </c>
    </row>
    <row r="275" spans="1:7" s="160" customFormat="1" ht="24" thickBot="1" x14ac:dyDescent="0.4">
      <c r="A275" s="398"/>
      <c r="B275" s="399"/>
      <c r="C275" s="400"/>
      <c r="D275" s="409"/>
      <c r="E275" s="401"/>
      <c r="F275" s="411"/>
      <c r="G275" s="402">
        <f t="shared" si="18"/>
        <v>0</v>
      </c>
    </row>
    <row r="276" spans="1:7" s="160" customFormat="1" ht="24" thickBot="1" x14ac:dyDescent="0.4">
      <c r="A276" s="398"/>
      <c r="B276" s="399"/>
      <c r="C276" s="404" t="s">
        <v>760</v>
      </c>
      <c r="D276" s="409"/>
      <c r="E276" s="401"/>
      <c r="F276" s="411"/>
      <c r="G276" s="405">
        <f>SUM(G247:G275)</f>
        <v>0</v>
      </c>
    </row>
    <row r="277" spans="1:7" s="160" customFormat="1" x14ac:dyDescent="0.35">
      <c r="A277" s="398"/>
      <c r="B277" s="399"/>
      <c r="C277" s="400"/>
      <c r="D277" s="409"/>
      <c r="E277" s="401"/>
      <c r="F277" s="411"/>
      <c r="G277" s="402">
        <f t="shared" si="18"/>
        <v>0</v>
      </c>
    </row>
    <row r="278" spans="1:7" s="160" customFormat="1" x14ac:dyDescent="0.35">
      <c r="A278" s="398"/>
      <c r="B278" s="399"/>
      <c r="C278" s="400"/>
      <c r="D278" s="409"/>
      <c r="E278" s="401"/>
      <c r="F278" s="411"/>
      <c r="G278" s="402">
        <f t="shared" si="18"/>
        <v>0</v>
      </c>
    </row>
    <row r="279" spans="1:7" s="160" customFormat="1" ht="24" thickBot="1" x14ac:dyDescent="0.4">
      <c r="A279" s="398"/>
      <c r="B279" s="399"/>
      <c r="C279" s="400"/>
      <c r="D279" s="409"/>
      <c r="E279" s="401"/>
      <c r="F279" s="411"/>
      <c r="G279" s="402">
        <f t="shared" si="18"/>
        <v>0</v>
      </c>
    </row>
    <row r="280" spans="1:7" ht="18.75" customHeight="1" x14ac:dyDescent="0.35">
      <c r="A280" s="383"/>
      <c r="B280" s="384"/>
      <c r="C280" s="385"/>
      <c r="D280" s="386"/>
      <c r="E280" s="387"/>
      <c r="F280" s="410"/>
      <c r="G280" s="387"/>
    </row>
    <row r="281" spans="1:7" s="160" customFormat="1" x14ac:dyDescent="0.35">
      <c r="A281" s="388"/>
      <c r="B281" s="389"/>
      <c r="C281" s="390"/>
      <c r="D281" s="391"/>
      <c r="E281" s="391"/>
      <c r="F281" s="393" t="s">
        <v>2</v>
      </c>
      <c r="G281" s="393"/>
    </row>
    <row r="282" spans="1:7" s="160" customFormat="1" ht="24" thickBot="1" x14ac:dyDescent="0.4">
      <c r="A282" s="394"/>
      <c r="B282" s="395"/>
      <c r="C282" s="396" t="s">
        <v>753</v>
      </c>
      <c r="D282" s="397" t="s">
        <v>3</v>
      </c>
      <c r="E282" s="397" t="s">
        <v>1</v>
      </c>
      <c r="F282" s="397" t="s">
        <v>4</v>
      </c>
      <c r="G282" s="397" t="s">
        <v>5</v>
      </c>
    </row>
    <row r="283" spans="1:7" s="160" customFormat="1" ht="18" customHeight="1" x14ac:dyDescent="0.35">
      <c r="A283" s="398"/>
      <c r="B283" s="399"/>
      <c r="C283" s="400"/>
      <c r="D283" s="409"/>
      <c r="E283" s="401"/>
      <c r="F283" s="411"/>
      <c r="G283" s="402">
        <f t="shared" ref="G283:G284" si="19">ROUND(D283*F283,2)</f>
        <v>0</v>
      </c>
    </row>
    <row r="284" spans="1:7" s="160" customFormat="1" x14ac:dyDescent="0.35">
      <c r="A284" s="398"/>
      <c r="B284" s="399"/>
      <c r="C284" s="412" t="s">
        <v>820</v>
      </c>
      <c r="D284" s="409"/>
      <c r="E284" s="401"/>
      <c r="F284" s="411"/>
      <c r="G284" s="402">
        <f t="shared" si="19"/>
        <v>0</v>
      </c>
    </row>
    <row r="285" spans="1:7" s="160" customFormat="1" x14ac:dyDescent="0.35">
      <c r="A285" s="398"/>
      <c r="B285" s="399"/>
      <c r="C285" s="400"/>
      <c r="D285" s="409"/>
      <c r="E285" s="401"/>
      <c r="F285" s="411"/>
      <c r="G285" s="402">
        <f t="shared" si="18"/>
        <v>0</v>
      </c>
    </row>
    <row r="286" spans="1:7" s="160" customFormat="1" x14ac:dyDescent="0.35">
      <c r="A286" s="398"/>
      <c r="B286" s="399"/>
      <c r="C286" s="400"/>
      <c r="D286" s="409"/>
      <c r="E286" s="401"/>
      <c r="F286" s="411"/>
      <c r="G286" s="402">
        <f t="shared" ref="G286:G298" si="20">D286*F286</f>
        <v>0</v>
      </c>
    </row>
    <row r="287" spans="1:7" s="160" customFormat="1" x14ac:dyDescent="0.35">
      <c r="A287" s="398"/>
      <c r="B287" s="399"/>
      <c r="C287" s="400"/>
      <c r="D287" s="409"/>
      <c r="E287" s="401"/>
      <c r="F287" s="411"/>
      <c r="G287" s="402">
        <f t="shared" si="20"/>
        <v>0</v>
      </c>
    </row>
    <row r="288" spans="1:7" s="160" customFormat="1" ht="24" thickBot="1" x14ac:dyDescent="0.4">
      <c r="A288" s="398"/>
      <c r="B288" s="399"/>
      <c r="C288" s="400"/>
      <c r="D288" s="409"/>
      <c r="E288" s="401"/>
      <c r="F288" s="411"/>
      <c r="G288" s="402">
        <f t="shared" si="20"/>
        <v>0</v>
      </c>
    </row>
    <row r="289" spans="1:7" s="160" customFormat="1" ht="47.25" thickBot="1" x14ac:dyDescent="0.4">
      <c r="A289" s="398"/>
      <c r="B289" s="399"/>
      <c r="C289" s="400" t="s">
        <v>952</v>
      </c>
      <c r="D289" s="409">
        <v>1</v>
      </c>
      <c r="E289" s="401" t="s">
        <v>756</v>
      </c>
      <c r="F289" s="411"/>
      <c r="G289" s="433">
        <f t="shared" si="20"/>
        <v>0</v>
      </c>
    </row>
    <row r="290" spans="1:7" s="160" customFormat="1" x14ac:dyDescent="0.35">
      <c r="A290" s="398"/>
      <c r="B290" s="399"/>
      <c r="C290" s="400"/>
      <c r="D290" s="409"/>
      <c r="E290" s="401"/>
      <c r="F290" s="411"/>
      <c r="G290" s="402">
        <f t="shared" si="20"/>
        <v>0</v>
      </c>
    </row>
    <row r="291" spans="1:7" s="160" customFormat="1" x14ac:dyDescent="0.35">
      <c r="A291" s="398"/>
      <c r="B291" s="399"/>
      <c r="C291" s="400"/>
      <c r="D291" s="409"/>
      <c r="E291" s="401"/>
      <c r="F291" s="411"/>
      <c r="G291" s="402">
        <f t="shared" si="20"/>
        <v>0</v>
      </c>
    </row>
    <row r="292" spans="1:7" s="160" customFormat="1" x14ac:dyDescent="0.35">
      <c r="A292" s="398"/>
      <c r="B292" s="399"/>
      <c r="C292" s="400"/>
      <c r="D292" s="409"/>
      <c r="E292" s="401"/>
      <c r="F292" s="411"/>
      <c r="G292" s="402">
        <f t="shared" si="20"/>
        <v>0</v>
      </c>
    </row>
    <row r="293" spans="1:7" s="160" customFormat="1" x14ac:dyDescent="0.35">
      <c r="A293" s="398"/>
      <c r="B293" s="399"/>
      <c r="C293" s="400" t="s">
        <v>949</v>
      </c>
      <c r="D293" s="409">
        <v>1</v>
      </c>
      <c r="E293" s="401" t="s">
        <v>756</v>
      </c>
      <c r="F293" s="411"/>
      <c r="G293" s="402">
        <f t="shared" si="20"/>
        <v>0</v>
      </c>
    </row>
    <row r="294" spans="1:7" s="160" customFormat="1" x14ac:dyDescent="0.35">
      <c r="A294" s="398"/>
      <c r="B294" s="399"/>
      <c r="C294" s="400"/>
      <c r="D294" s="409"/>
      <c r="E294" s="401"/>
      <c r="F294" s="411"/>
      <c r="G294" s="402">
        <f t="shared" si="20"/>
        <v>0</v>
      </c>
    </row>
    <row r="295" spans="1:7" s="160" customFormat="1" x14ac:dyDescent="0.35">
      <c r="A295" s="398"/>
      <c r="B295" s="399"/>
      <c r="C295" s="400"/>
      <c r="D295" s="409"/>
      <c r="E295" s="401"/>
      <c r="F295" s="411"/>
      <c r="G295" s="402">
        <f t="shared" si="20"/>
        <v>0</v>
      </c>
    </row>
    <row r="296" spans="1:7" s="160" customFormat="1" x14ac:dyDescent="0.35">
      <c r="A296" s="398"/>
      <c r="B296" s="399"/>
      <c r="C296" s="400"/>
      <c r="D296" s="409"/>
      <c r="E296" s="401"/>
      <c r="F296" s="411"/>
      <c r="G296" s="402">
        <f t="shared" si="20"/>
        <v>0</v>
      </c>
    </row>
    <row r="297" spans="1:7" s="160" customFormat="1" x14ac:dyDescent="0.35">
      <c r="A297" s="398"/>
      <c r="B297" s="399"/>
      <c r="C297" s="400"/>
      <c r="D297" s="409"/>
      <c r="E297" s="401"/>
      <c r="F297" s="411"/>
      <c r="G297" s="402">
        <f t="shared" si="20"/>
        <v>0</v>
      </c>
    </row>
    <row r="298" spans="1:7" s="160" customFormat="1" x14ac:dyDescent="0.35">
      <c r="A298" s="398"/>
      <c r="B298" s="399"/>
      <c r="C298" s="400"/>
      <c r="D298" s="409"/>
      <c r="E298" s="401"/>
      <c r="F298" s="411"/>
      <c r="G298" s="402">
        <f t="shared" si="20"/>
        <v>0</v>
      </c>
    </row>
    <row r="299" spans="1:7" s="160" customFormat="1" x14ac:dyDescent="0.35">
      <c r="A299" s="398"/>
      <c r="B299" s="399"/>
      <c r="C299" s="400"/>
      <c r="D299" s="409"/>
      <c r="E299" s="401"/>
      <c r="F299" s="411"/>
      <c r="G299" s="402">
        <f t="shared" si="18"/>
        <v>0</v>
      </c>
    </row>
    <row r="300" spans="1:7" s="160" customFormat="1" x14ac:dyDescent="0.35">
      <c r="A300" s="398"/>
      <c r="B300" s="399"/>
      <c r="C300" s="400"/>
      <c r="D300" s="409"/>
      <c r="E300" s="401"/>
      <c r="F300" s="411"/>
      <c r="G300" s="402">
        <f>D300*F300</f>
        <v>0</v>
      </c>
    </row>
    <row r="301" spans="1:7" s="160" customFormat="1" x14ac:dyDescent="0.35">
      <c r="A301" s="398"/>
      <c r="B301" s="399"/>
      <c r="C301" s="400"/>
      <c r="D301" s="409"/>
      <c r="E301" s="401"/>
      <c r="F301" s="411"/>
      <c r="G301" s="402">
        <f t="shared" ref="G301:G306" si="21">D301*F301</f>
        <v>0</v>
      </c>
    </row>
    <row r="302" spans="1:7" s="160" customFormat="1" x14ac:dyDescent="0.35">
      <c r="A302" s="398"/>
      <c r="B302" s="399"/>
      <c r="C302" s="400"/>
      <c r="D302" s="409"/>
      <c r="E302" s="401"/>
      <c r="F302" s="411"/>
      <c r="G302" s="402">
        <f t="shared" si="21"/>
        <v>0</v>
      </c>
    </row>
    <row r="303" spans="1:7" s="160" customFormat="1" x14ac:dyDescent="0.35">
      <c r="A303" s="398"/>
      <c r="B303" s="399"/>
      <c r="C303" s="400"/>
      <c r="D303" s="409"/>
      <c r="E303" s="401"/>
      <c r="F303" s="411"/>
      <c r="G303" s="402">
        <f t="shared" si="21"/>
        <v>0</v>
      </c>
    </row>
    <row r="304" spans="1:7" s="160" customFormat="1" x14ac:dyDescent="0.35">
      <c r="A304" s="398"/>
      <c r="B304" s="399"/>
      <c r="C304" s="400"/>
      <c r="D304" s="409"/>
      <c r="E304" s="401"/>
      <c r="F304" s="411"/>
      <c r="G304" s="402">
        <f t="shared" si="21"/>
        <v>0</v>
      </c>
    </row>
    <row r="305" spans="1:7" s="160" customFormat="1" x14ac:dyDescent="0.35">
      <c r="A305" s="398"/>
      <c r="B305" s="399"/>
      <c r="C305" s="400"/>
      <c r="D305" s="409"/>
      <c r="E305" s="401"/>
      <c r="F305" s="411"/>
      <c r="G305" s="402">
        <f t="shared" si="21"/>
        <v>0</v>
      </c>
    </row>
    <row r="306" spans="1:7" s="160" customFormat="1" x14ac:dyDescent="0.35">
      <c r="A306" s="398"/>
      <c r="B306" s="399"/>
      <c r="C306" s="400"/>
      <c r="D306" s="409"/>
      <c r="E306" s="401"/>
      <c r="F306" s="411"/>
      <c r="G306" s="402">
        <f t="shared" si="21"/>
        <v>0</v>
      </c>
    </row>
    <row r="307" spans="1:7" s="160" customFormat="1" x14ac:dyDescent="0.35">
      <c r="A307" s="398"/>
      <c r="B307" s="399"/>
      <c r="C307" s="400"/>
      <c r="D307" s="409"/>
      <c r="E307" s="401"/>
      <c r="F307" s="411"/>
      <c r="G307" s="402">
        <f t="shared" si="18"/>
        <v>0</v>
      </c>
    </row>
    <row r="308" spans="1:7" s="160" customFormat="1" x14ac:dyDescent="0.35">
      <c r="A308" s="398"/>
      <c r="B308" s="399"/>
      <c r="C308" s="400"/>
      <c r="D308" s="409"/>
      <c r="E308" s="401"/>
      <c r="F308" s="411"/>
      <c r="G308" s="402">
        <f t="shared" si="18"/>
        <v>0</v>
      </c>
    </row>
    <row r="309" spans="1:7" s="160" customFormat="1" x14ac:dyDescent="0.35">
      <c r="A309" s="398"/>
      <c r="B309" s="399"/>
      <c r="C309" s="400"/>
      <c r="D309" s="409"/>
      <c r="E309" s="401"/>
      <c r="F309" s="411"/>
      <c r="G309" s="402">
        <f t="shared" si="18"/>
        <v>0</v>
      </c>
    </row>
    <row r="310" spans="1:7" s="160" customFormat="1" x14ac:dyDescent="0.35">
      <c r="A310" s="398"/>
      <c r="B310" s="399"/>
      <c r="C310" s="400"/>
      <c r="D310" s="409"/>
      <c r="E310" s="401"/>
      <c r="F310" s="411"/>
      <c r="G310" s="402">
        <f t="shared" si="18"/>
        <v>0</v>
      </c>
    </row>
    <row r="311" spans="1:7" s="160" customFormat="1" x14ac:dyDescent="0.35">
      <c r="A311" s="398"/>
      <c r="B311" s="399"/>
      <c r="C311" s="400"/>
      <c r="D311" s="409"/>
      <c r="E311" s="401"/>
      <c r="F311" s="411"/>
      <c r="G311" s="402">
        <f t="shared" si="18"/>
        <v>0</v>
      </c>
    </row>
    <row r="312" spans="1:7" s="160" customFormat="1" x14ac:dyDescent="0.35">
      <c r="A312" s="398"/>
      <c r="B312" s="399"/>
      <c r="C312" s="400"/>
      <c r="D312" s="409"/>
      <c r="E312" s="401"/>
      <c r="F312" s="411"/>
      <c r="G312" s="402">
        <f t="shared" si="18"/>
        <v>0</v>
      </c>
    </row>
    <row r="313" spans="1:7" s="160" customFormat="1" x14ac:dyDescent="0.35">
      <c r="A313" s="398"/>
      <c r="B313" s="399"/>
      <c r="C313" s="400"/>
      <c r="D313" s="409"/>
      <c r="E313" s="401"/>
      <c r="F313" s="411"/>
      <c r="G313" s="402">
        <f t="shared" si="18"/>
        <v>0</v>
      </c>
    </row>
    <row r="314" spans="1:7" s="160" customFormat="1" x14ac:dyDescent="0.35">
      <c r="A314" s="398"/>
      <c r="B314" s="399"/>
      <c r="C314" s="400"/>
      <c r="D314" s="409"/>
      <c r="E314" s="401"/>
      <c r="F314" s="411"/>
      <c r="G314" s="402">
        <f t="shared" si="18"/>
        <v>0</v>
      </c>
    </row>
    <row r="315" spans="1:7" s="160" customFormat="1" x14ac:dyDescent="0.35">
      <c r="A315" s="398"/>
      <c r="B315" s="399"/>
      <c r="C315" s="400"/>
      <c r="D315" s="409"/>
      <c r="E315" s="401"/>
      <c r="F315" s="411"/>
      <c r="G315" s="402">
        <f t="shared" si="18"/>
        <v>0</v>
      </c>
    </row>
    <row r="316" spans="1:7" s="160" customFormat="1" x14ac:dyDescent="0.35">
      <c r="A316" s="398"/>
      <c r="B316" s="399"/>
      <c r="C316" s="400"/>
      <c r="D316" s="409"/>
      <c r="E316" s="401"/>
      <c r="F316" s="411"/>
      <c r="G316" s="402">
        <f t="shared" si="18"/>
        <v>0</v>
      </c>
    </row>
    <row r="317" spans="1:7" s="160" customFormat="1" x14ac:dyDescent="0.35">
      <c r="A317" s="398"/>
      <c r="B317" s="399"/>
      <c r="C317" s="400"/>
      <c r="D317" s="409"/>
      <c r="E317" s="401"/>
      <c r="F317" s="411"/>
      <c r="G317" s="402">
        <f t="shared" si="18"/>
        <v>0</v>
      </c>
    </row>
    <row r="318" spans="1:7" s="160" customFormat="1" x14ac:dyDescent="0.35">
      <c r="A318" s="398"/>
      <c r="B318" s="399"/>
      <c r="C318" s="400"/>
      <c r="D318" s="409"/>
      <c r="E318" s="401"/>
      <c r="F318" s="411"/>
      <c r="G318" s="402">
        <f t="shared" si="18"/>
        <v>0</v>
      </c>
    </row>
    <row r="319" spans="1:7" s="160" customFormat="1" x14ac:dyDescent="0.35">
      <c r="A319" s="398"/>
      <c r="B319" s="399"/>
      <c r="C319" s="400"/>
      <c r="D319" s="409"/>
      <c r="E319" s="401"/>
      <c r="F319" s="411"/>
      <c r="G319" s="402">
        <f t="shared" si="18"/>
        <v>0</v>
      </c>
    </row>
    <row r="320" spans="1:7" s="160" customFormat="1" x14ac:dyDescent="0.35">
      <c r="A320" s="398"/>
      <c r="B320" s="399"/>
      <c r="C320" s="400"/>
      <c r="D320" s="409"/>
      <c r="E320" s="401"/>
      <c r="F320" s="411"/>
      <c r="G320" s="402">
        <f t="shared" si="18"/>
        <v>0</v>
      </c>
    </row>
    <row r="321" spans="1:7" s="160" customFormat="1" x14ac:dyDescent="0.35">
      <c r="A321" s="398"/>
      <c r="B321" s="399"/>
      <c r="C321" s="400"/>
      <c r="D321" s="409"/>
      <c r="E321" s="401"/>
      <c r="F321" s="411"/>
      <c r="G321" s="402"/>
    </row>
    <row r="322" spans="1:7" s="160" customFormat="1" ht="24" thickBot="1" x14ac:dyDescent="0.4">
      <c r="A322" s="398"/>
      <c r="B322" s="399"/>
      <c r="C322" s="400"/>
      <c r="D322" s="409"/>
      <c r="E322" s="401"/>
      <c r="F322" s="411"/>
      <c r="G322" s="402">
        <f t="shared" si="18"/>
        <v>0</v>
      </c>
    </row>
    <row r="323" spans="1:7" s="160" customFormat="1" ht="24" thickBot="1" x14ac:dyDescent="0.4">
      <c r="A323" s="398"/>
      <c r="B323" s="399"/>
      <c r="C323" s="404" t="s">
        <v>760</v>
      </c>
      <c r="D323" s="409"/>
      <c r="E323" s="401"/>
      <c r="F323" s="411"/>
      <c r="G323" s="405">
        <f>SUM(G285:G322)</f>
        <v>0</v>
      </c>
    </row>
    <row r="324" spans="1:7" s="160" customFormat="1" x14ac:dyDescent="0.35">
      <c r="A324" s="398"/>
      <c r="B324" s="399"/>
      <c r="C324" s="400"/>
      <c r="D324" s="409"/>
      <c r="E324" s="401"/>
      <c r="F324" s="411"/>
      <c r="G324" s="402">
        <f t="shared" si="18"/>
        <v>0</v>
      </c>
    </row>
    <row r="325" spans="1:7" s="160" customFormat="1" x14ac:dyDescent="0.35">
      <c r="A325" s="398"/>
      <c r="B325" s="399"/>
      <c r="C325" s="400"/>
      <c r="D325" s="409"/>
      <c r="E325" s="401"/>
      <c r="F325" s="411"/>
      <c r="G325" s="402">
        <f t="shared" ref="G325:G384" si="22">ROUND(D325*F325,2)</f>
        <v>0</v>
      </c>
    </row>
    <row r="326" spans="1:7" s="160" customFormat="1" x14ac:dyDescent="0.35">
      <c r="A326" s="398"/>
      <c r="B326" s="399"/>
      <c r="C326" s="400"/>
      <c r="D326" s="409"/>
      <c r="E326" s="401"/>
      <c r="F326" s="411"/>
      <c r="G326" s="402">
        <f t="shared" si="22"/>
        <v>0</v>
      </c>
    </row>
    <row r="327" spans="1:7" s="160" customFormat="1" x14ac:dyDescent="0.35">
      <c r="A327" s="398"/>
      <c r="B327" s="399"/>
      <c r="C327" s="400"/>
      <c r="D327" s="409"/>
      <c r="E327" s="401"/>
      <c r="F327" s="411"/>
      <c r="G327" s="402">
        <f t="shared" si="22"/>
        <v>0</v>
      </c>
    </row>
    <row r="328" spans="1:7" s="160" customFormat="1" x14ac:dyDescent="0.35">
      <c r="A328" s="398"/>
      <c r="B328" s="399"/>
      <c r="C328" s="400"/>
      <c r="D328" s="409"/>
      <c r="E328" s="401"/>
      <c r="F328" s="411"/>
      <c r="G328" s="402">
        <f t="shared" si="22"/>
        <v>0</v>
      </c>
    </row>
    <row r="329" spans="1:7" s="160" customFormat="1" x14ac:dyDescent="0.35">
      <c r="A329" s="398"/>
      <c r="B329" s="399"/>
      <c r="C329" s="400"/>
      <c r="D329" s="409"/>
      <c r="E329" s="401"/>
      <c r="F329" s="411"/>
      <c r="G329" s="402">
        <f t="shared" si="22"/>
        <v>0</v>
      </c>
    </row>
    <row r="330" spans="1:7" s="160" customFormat="1" ht="24" thickBot="1" x14ac:dyDescent="0.4">
      <c r="A330" s="398"/>
      <c r="B330" s="399"/>
      <c r="C330" s="400"/>
      <c r="D330" s="409"/>
      <c r="E330" s="401"/>
      <c r="F330" s="411"/>
      <c r="G330" s="402">
        <f t="shared" si="22"/>
        <v>0</v>
      </c>
    </row>
    <row r="331" spans="1:7" ht="18.75" customHeight="1" x14ac:dyDescent="0.35">
      <c r="A331" s="383"/>
      <c r="B331" s="384"/>
      <c r="C331" s="385"/>
      <c r="D331" s="386"/>
      <c r="E331" s="387"/>
      <c r="F331" s="410"/>
      <c r="G331" s="387"/>
    </row>
    <row r="332" spans="1:7" s="160" customFormat="1" x14ac:dyDescent="0.35">
      <c r="A332" s="388"/>
      <c r="B332" s="389"/>
      <c r="C332" s="390"/>
      <c r="D332" s="391"/>
      <c r="E332" s="391"/>
      <c r="F332" s="393" t="s">
        <v>2</v>
      </c>
      <c r="G332" s="393"/>
    </row>
    <row r="333" spans="1:7" s="160" customFormat="1" ht="24" thickBot="1" x14ac:dyDescent="0.4">
      <c r="A333" s="394"/>
      <c r="B333" s="395"/>
      <c r="C333" s="396" t="s">
        <v>753</v>
      </c>
      <c r="D333" s="397" t="s">
        <v>3</v>
      </c>
      <c r="E333" s="397" t="s">
        <v>1</v>
      </c>
      <c r="F333" s="397" t="s">
        <v>4</v>
      </c>
      <c r="G333" s="397" t="s">
        <v>5</v>
      </c>
    </row>
    <row r="334" spans="1:7" s="160" customFormat="1" ht="18" customHeight="1" x14ac:dyDescent="0.35">
      <c r="A334" s="398"/>
      <c r="B334" s="399"/>
      <c r="C334" s="400"/>
      <c r="D334" s="409"/>
      <c r="E334" s="401"/>
      <c r="F334" s="411"/>
      <c r="G334" s="402">
        <f t="shared" ref="G334:G335" si="23">ROUND(D334*F334,2)</f>
        <v>0</v>
      </c>
    </row>
    <row r="335" spans="1:7" s="160" customFormat="1" x14ac:dyDescent="0.35">
      <c r="A335" s="398"/>
      <c r="B335" s="399"/>
      <c r="C335" s="412" t="s">
        <v>825</v>
      </c>
      <c r="D335" s="409"/>
      <c r="E335" s="401"/>
      <c r="F335" s="411"/>
      <c r="G335" s="402">
        <f t="shared" si="23"/>
        <v>0</v>
      </c>
    </row>
    <row r="336" spans="1:7" s="160" customFormat="1" x14ac:dyDescent="0.35">
      <c r="A336" s="398"/>
      <c r="B336" s="399"/>
      <c r="C336" s="400"/>
      <c r="D336" s="409"/>
      <c r="E336" s="401"/>
      <c r="F336" s="411"/>
      <c r="G336" s="402">
        <f t="shared" si="22"/>
        <v>0</v>
      </c>
    </row>
    <row r="337" spans="1:7" s="160" customFormat="1" x14ac:dyDescent="0.35">
      <c r="A337" s="398"/>
      <c r="B337" s="399"/>
      <c r="C337" s="400"/>
      <c r="D337" s="409"/>
      <c r="E337" s="401"/>
      <c r="F337" s="411"/>
      <c r="G337" s="402">
        <f t="shared" si="22"/>
        <v>0</v>
      </c>
    </row>
    <row r="338" spans="1:7" s="160" customFormat="1" x14ac:dyDescent="0.35">
      <c r="A338" s="398"/>
      <c r="B338" s="399"/>
      <c r="C338" s="400"/>
      <c r="D338" s="409"/>
      <c r="E338" s="401"/>
      <c r="F338" s="411"/>
      <c r="G338" s="402">
        <f t="shared" si="22"/>
        <v>0</v>
      </c>
    </row>
    <row r="339" spans="1:7" s="160" customFormat="1" ht="46.5" x14ac:dyDescent="0.35">
      <c r="A339" s="398"/>
      <c r="B339" s="399"/>
      <c r="C339" s="400" t="s">
        <v>953</v>
      </c>
      <c r="D339" s="409">
        <v>1</v>
      </c>
      <c r="E339" s="401" t="s">
        <v>819</v>
      </c>
      <c r="F339" s="411"/>
      <c r="G339" s="402">
        <f t="shared" ref="G339" si="24">D339*F339</f>
        <v>0</v>
      </c>
    </row>
    <row r="340" spans="1:7" s="160" customFormat="1" x14ac:dyDescent="0.35">
      <c r="A340" s="398"/>
      <c r="B340" s="399"/>
      <c r="C340" s="400"/>
      <c r="D340" s="409"/>
      <c r="E340" s="401"/>
      <c r="F340" s="411"/>
      <c r="G340" s="402">
        <f t="shared" ref="G340:G344" si="25">ROUND(D340*F340,2)</f>
        <v>0</v>
      </c>
    </row>
    <row r="341" spans="1:7" s="160" customFormat="1" x14ac:dyDescent="0.35">
      <c r="A341" s="398"/>
      <c r="B341" s="399"/>
      <c r="C341" s="400"/>
      <c r="D341" s="409"/>
      <c r="E341" s="401"/>
      <c r="F341" s="411"/>
      <c r="G341" s="402">
        <f t="shared" si="25"/>
        <v>0</v>
      </c>
    </row>
    <row r="342" spans="1:7" s="160" customFormat="1" x14ac:dyDescent="0.35">
      <c r="A342" s="398"/>
      <c r="B342" s="399"/>
      <c r="C342" s="400"/>
      <c r="D342" s="409"/>
      <c r="E342" s="401"/>
      <c r="F342" s="411"/>
      <c r="G342" s="402">
        <f t="shared" si="25"/>
        <v>0</v>
      </c>
    </row>
    <row r="343" spans="1:7" s="160" customFormat="1" x14ac:dyDescent="0.35">
      <c r="A343" s="398"/>
      <c r="B343" s="399"/>
      <c r="C343" s="400"/>
      <c r="D343" s="409"/>
      <c r="E343" s="401"/>
      <c r="F343" s="411"/>
      <c r="G343" s="402">
        <f t="shared" si="25"/>
        <v>0</v>
      </c>
    </row>
    <row r="344" spans="1:7" s="160" customFormat="1" x14ac:dyDescent="0.35">
      <c r="A344" s="398"/>
      <c r="B344" s="399"/>
      <c r="C344" s="400"/>
      <c r="D344" s="409"/>
      <c r="E344" s="401"/>
      <c r="F344" s="411"/>
      <c r="G344" s="402">
        <f t="shared" si="25"/>
        <v>0</v>
      </c>
    </row>
    <row r="345" spans="1:7" s="160" customFormat="1" ht="69.75" x14ac:dyDescent="0.35">
      <c r="A345" s="398"/>
      <c r="B345" s="399"/>
      <c r="C345" s="400" t="s">
        <v>818</v>
      </c>
      <c r="D345" s="409">
        <v>1</v>
      </c>
      <c r="E345" s="401" t="s">
        <v>756</v>
      </c>
      <c r="F345" s="411"/>
      <c r="G345" s="402">
        <f t="shared" ref="G345" si="26">D345*F345</f>
        <v>0</v>
      </c>
    </row>
    <row r="346" spans="1:7" s="160" customFormat="1" x14ac:dyDescent="0.35">
      <c r="A346" s="398"/>
      <c r="B346" s="399"/>
      <c r="C346" s="400"/>
      <c r="D346" s="409"/>
      <c r="E346" s="401"/>
      <c r="F346" s="411"/>
      <c r="G346" s="402">
        <f t="shared" ref="G346" si="27">ROUND(D346*F346,2)</f>
        <v>0</v>
      </c>
    </row>
    <row r="347" spans="1:7" s="160" customFormat="1" x14ac:dyDescent="0.35">
      <c r="A347" s="398"/>
      <c r="B347" s="399"/>
      <c r="C347" s="400"/>
      <c r="D347" s="409"/>
      <c r="E347" s="401"/>
      <c r="F347" s="411"/>
      <c r="G347" s="402">
        <f t="shared" ref="G347" si="28">D347*F347</f>
        <v>0</v>
      </c>
    </row>
    <row r="348" spans="1:7" s="160" customFormat="1" x14ac:dyDescent="0.35">
      <c r="A348" s="398"/>
      <c r="B348" s="399"/>
      <c r="C348" s="400"/>
      <c r="D348" s="409"/>
      <c r="E348" s="401"/>
      <c r="F348" s="411"/>
      <c r="G348" s="402">
        <f t="shared" ref="G348" si="29">D348*F348</f>
        <v>0</v>
      </c>
    </row>
    <row r="349" spans="1:7" s="160" customFormat="1" x14ac:dyDescent="0.35">
      <c r="A349" s="398"/>
      <c r="B349" s="399"/>
      <c r="C349" s="400"/>
      <c r="D349" s="409"/>
      <c r="E349" s="401"/>
      <c r="F349" s="411"/>
      <c r="G349" s="402">
        <f t="shared" ref="G349" si="30">D349*F349</f>
        <v>0</v>
      </c>
    </row>
    <row r="350" spans="1:7" s="160" customFormat="1" x14ac:dyDescent="0.35">
      <c r="A350" s="398"/>
      <c r="B350" s="399"/>
      <c r="C350" s="400"/>
      <c r="D350" s="409"/>
      <c r="E350" s="401"/>
      <c r="F350" s="411"/>
      <c r="G350" s="402">
        <f t="shared" si="22"/>
        <v>0</v>
      </c>
    </row>
    <row r="351" spans="1:7" s="160" customFormat="1" x14ac:dyDescent="0.35">
      <c r="A351" s="398"/>
      <c r="B351" s="399"/>
      <c r="C351" s="400"/>
      <c r="D351" s="409"/>
      <c r="E351" s="401"/>
      <c r="F351" s="411"/>
      <c r="G351" s="402">
        <f t="shared" ref="G351" si="31">D351*F351</f>
        <v>0</v>
      </c>
    </row>
    <row r="352" spans="1:7" s="160" customFormat="1" x14ac:dyDescent="0.35">
      <c r="A352" s="398"/>
      <c r="B352" s="399"/>
      <c r="C352" s="400"/>
      <c r="D352" s="409"/>
      <c r="E352" s="401"/>
      <c r="F352" s="411"/>
      <c r="G352" s="402">
        <f t="shared" si="22"/>
        <v>0</v>
      </c>
    </row>
    <row r="353" spans="1:7" s="160" customFormat="1" x14ac:dyDescent="0.35">
      <c r="A353" s="398"/>
      <c r="B353" s="399"/>
      <c r="C353" s="400"/>
      <c r="D353" s="409"/>
      <c r="E353" s="401"/>
      <c r="F353" s="411"/>
      <c r="G353" s="402">
        <f t="shared" si="22"/>
        <v>0</v>
      </c>
    </row>
    <row r="354" spans="1:7" s="160" customFormat="1" x14ac:dyDescent="0.35">
      <c r="A354" s="398"/>
      <c r="B354" s="399"/>
      <c r="C354" s="400"/>
      <c r="D354" s="409"/>
      <c r="E354" s="401"/>
      <c r="F354" s="411"/>
      <c r="G354" s="402">
        <f t="shared" si="22"/>
        <v>0</v>
      </c>
    </row>
    <row r="355" spans="1:7" s="160" customFormat="1" x14ac:dyDescent="0.35">
      <c r="A355" s="398"/>
      <c r="B355" s="399"/>
      <c r="C355" s="400"/>
      <c r="D355" s="409"/>
      <c r="E355" s="401"/>
      <c r="F355" s="411"/>
      <c r="G355" s="402">
        <f t="shared" si="22"/>
        <v>0</v>
      </c>
    </row>
    <row r="356" spans="1:7" s="160" customFormat="1" x14ac:dyDescent="0.35">
      <c r="A356" s="398"/>
      <c r="B356" s="399"/>
      <c r="C356" s="400"/>
      <c r="D356" s="409"/>
      <c r="E356" s="401"/>
      <c r="F356" s="411"/>
      <c r="G356" s="402">
        <f t="shared" si="22"/>
        <v>0</v>
      </c>
    </row>
    <row r="357" spans="1:7" s="160" customFormat="1" x14ac:dyDescent="0.35">
      <c r="A357" s="398"/>
      <c r="B357" s="399"/>
      <c r="C357" s="400"/>
      <c r="D357" s="409"/>
      <c r="E357" s="401"/>
      <c r="F357" s="411"/>
      <c r="G357" s="402">
        <f t="shared" si="22"/>
        <v>0</v>
      </c>
    </row>
    <row r="358" spans="1:7" s="160" customFormat="1" x14ac:dyDescent="0.35">
      <c r="A358" s="398"/>
      <c r="B358" s="399"/>
      <c r="C358" s="400"/>
      <c r="D358" s="409"/>
      <c r="E358" s="401"/>
      <c r="F358" s="411"/>
      <c r="G358" s="402">
        <f t="shared" si="22"/>
        <v>0</v>
      </c>
    </row>
    <row r="359" spans="1:7" s="160" customFormat="1" x14ac:dyDescent="0.35">
      <c r="A359" s="398"/>
      <c r="B359" s="399"/>
      <c r="C359" s="400"/>
      <c r="D359" s="409"/>
      <c r="E359" s="401"/>
      <c r="F359" s="411"/>
      <c r="G359" s="402">
        <f t="shared" si="22"/>
        <v>0</v>
      </c>
    </row>
    <row r="360" spans="1:7" s="160" customFormat="1" x14ac:dyDescent="0.35">
      <c r="A360" s="398"/>
      <c r="B360" s="399"/>
      <c r="C360" s="400"/>
      <c r="D360" s="409"/>
      <c r="E360" s="401"/>
      <c r="F360" s="411"/>
      <c r="G360" s="402">
        <f t="shared" si="22"/>
        <v>0</v>
      </c>
    </row>
    <row r="361" spans="1:7" s="160" customFormat="1" x14ac:dyDescent="0.35">
      <c r="A361" s="398"/>
      <c r="B361" s="399"/>
      <c r="C361" s="400"/>
      <c r="D361" s="409"/>
      <c r="E361" s="401"/>
      <c r="F361" s="411"/>
      <c r="G361" s="402">
        <f t="shared" si="22"/>
        <v>0</v>
      </c>
    </row>
    <row r="362" spans="1:7" s="160" customFormat="1" x14ac:dyDescent="0.35">
      <c r="A362" s="398"/>
      <c r="B362" s="399"/>
      <c r="C362" s="400"/>
      <c r="D362" s="409"/>
      <c r="E362" s="401"/>
      <c r="F362" s="411"/>
      <c r="G362" s="402">
        <f t="shared" si="22"/>
        <v>0</v>
      </c>
    </row>
    <row r="363" spans="1:7" s="160" customFormat="1" x14ac:dyDescent="0.35">
      <c r="A363" s="398"/>
      <c r="B363" s="399"/>
      <c r="C363" s="400"/>
      <c r="D363" s="409"/>
      <c r="E363" s="401"/>
      <c r="F363" s="411"/>
      <c r="G363" s="402">
        <f t="shared" si="22"/>
        <v>0</v>
      </c>
    </row>
    <row r="364" spans="1:7" s="160" customFormat="1" x14ac:dyDescent="0.35">
      <c r="A364" s="398"/>
      <c r="B364" s="399"/>
      <c r="C364" s="400"/>
      <c r="D364" s="409"/>
      <c r="E364" s="401"/>
      <c r="F364" s="411"/>
      <c r="G364" s="402">
        <f t="shared" si="22"/>
        <v>0</v>
      </c>
    </row>
    <row r="365" spans="1:7" s="160" customFormat="1" x14ac:dyDescent="0.35">
      <c r="A365" s="398"/>
      <c r="B365" s="399"/>
      <c r="C365" s="400"/>
      <c r="D365" s="409"/>
      <c r="E365" s="401"/>
      <c r="F365" s="411"/>
      <c r="G365" s="402">
        <f t="shared" si="22"/>
        <v>0</v>
      </c>
    </row>
    <row r="366" spans="1:7" s="160" customFormat="1" x14ac:dyDescent="0.35">
      <c r="A366" s="398"/>
      <c r="B366" s="399"/>
      <c r="C366" s="400"/>
      <c r="D366" s="409"/>
      <c r="E366" s="401"/>
      <c r="F366" s="411"/>
      <c r="G366" s="402">
        <f t="shared" si="22"/>
        <v>0</v>
      </c>
    </row>
    <row r="367" spans="1:7" s="160" customFormat="1" x14ac:dyDescent="0.35">
      <c r="A367" s="398"/>
      <c r="B367" s="399"/>
      <c r="C367" s="400"/>
      <c r="D367" s="409"/>
      <c r="E367" s="401"/>
      <c r="F367" s="411"/>
      <c r="G367" s="402">
        <f t="shared" si="22"/>
        <v>0</v>
      </c>
    </row>
    <row r="368" spans="1:7" s="160" customFormat="1" x14ac:dyDescent="0.35">
      <c r="A368" s="398"/>
      <c r="B368" s="399"/>
      <c r="C368" s="400"/>
      <c r="D368" s="409"/>
      <c r="E368" s="401"/>
      <c r="F368" s="411"/>
      <c r="G368" s="402">
        <f t="shared" si="22"/>
        <v>0</v>
      </c>
    </row>
    <row r="369" spans="1:7" s="160" customFormat="1" x14ac:dyDescent="0.35">
      <c r="A369" s="398"/>
      <c r="B369" s="399"/>
      <c r="C369" s="400"/>
      <c r="D369" s="409"/>
      <c r="E369" s="401"/>
      <c r="F369" s="411"/>
      <c r="G369" s="402"/>
    </row>
    <row r="370" spans="1:7" s="160" customFormat="1" ht="24" thickBot="1" x14ac:dyDescent="0.4">
      <c r="A370" s="398"/>
      <c r="B370" s="399"/>
      <c r="C370" s="400"/>
      <c r="D370" s="409"/>
      <c r="E370" s="401"/>
      <c r="F370" s="411"/>
      <c r="G370" s="402">
        <f t="shared" si="22"/>
        <v>0</v>
      </c>
    </row>
    <row r="371" spans="1:7" s="160" customFormat="1" ht="24" thickBot="1" x14ac:dyDescent="0.4">
      <c r="A371" s="398"/>
      <c r="B371" s="399"/>
      <c r="C371" s="404" t="s">
        <v>760</v>
      </c>
      <c r="D371" s="409"/>
      <c r="E371" s="401"/>
      <c r="F371" s="411"/>
      <c r="G371" s="405">
        <f>SUM(G336:G370)</f>
        <v>0</v>
      </c>
    </row>
    <row r="372" spans="1:7" s="160" customFormat="1" x14ac:dyDescent="0.35">
      <c r="A372" s="398"/>
      <c r="B372" s="399"/>
      <c r="C372" s="400"/>
      <c r="D372" s="409"/>
      <c r="E372" s="401"/>
      <c r="F372" s="411"/>
      <c r="G372" s="402">
        <f t="shared" si="22"/>
        <v>0</v>
      </c>
    </row>
    <row r="373" spans="1:7" s="160" customFormat="1" x14ac:dyDescent="0.35">
      <c r="A373" s="398"/>
      <c r="B373" s="399"/>
      <c r="C373" s="400"/>
      <c r="D373" s="409"/>
      <c r="E373" s="401"/>
      <c r="F373" s="411"/>
      <c r="G373" s="402">
        <f t="shared" si="22"/>
        <v>0</v>
      </c>
    </row>
    <row r="374" spans="1:7" s="160" customFormat="1" x14ac:dyDescent="0.35">
      <c r="A374" s="398"/>
      <c r="B374" s="399"/>
      <c r="C374" s="400"/>
      <c r="D374" s="409"/>
      <c r="E374" s="401"/>
      <c r="F374" s="411"/>
      <c r="G374" s="402">
        <f t="shared" si="22"/>
        <v>0</v>
      </c>
    </row>
    <row r="375" spans="1:7" s="160" customFormat="1" x14ac:dyDescent="0.35">
      <c r="A375" s="398"/>
      <c r="B375" s="399"/>
      <c r="C375" s="400"/>
      <c r="D375" s="409"/>
      <c r="E375" s="401"/>
      <c r="F375" s="411"/>
      <c r="G375" s="402">
        <f t="shared" si="22"/>
        <v>0</v>
      </c>
    </row>
    <row r="376" spans="1:7" s="160" customFormat="1" x14ac:dyDescent="0.35">
      <c r="A376" s="398"/>
      <c r="B376" s="399"/>
      <c r="C376" s="400"/>
      <c r="D376" s="409"/>
      <c r="E376" s="401"/>
      <c r="F376" s="411"/>
      <c r="G376" s="402">
        <f t="shared" si="22"/>
        <v>0</v>
      </c>
    </row>
    <row r="377" spans="1:7" s="160" customFormat="1" x14ac:dyDescent="0.35">
      <c r="A377" s="398"/>
      <c r="B377" s="399"/>
      <c r="C377" s="400"/>
      <c r="D377" s="409"/>
      <c r="E377" s="401"/>
      <c r="F377" s="411"/>
      <c r="G377" s="402">
        <f t="shared" si="22"/>
        <v>0</v>
      </c>
    </row>
    <row r="378" spans="1:7" s="160" customFormat="1" ht="24" thickBot="1" x14ac:dyDescent="0.4">
      <c r="A378" s="398"/>
      <c r="B378" s="399"/>
      <c r="C378" s="400"/>
      <c r="D378" s="409"/>
      <c r="E378" s="401"/>
      <c r="F378" s="411"/>
      <c r="G378" s="402">
        <f t="shared" si="22"/>
        <v>0</v>
      </c>
    </row>
    <row r="379" spans="1:7" ht="18.75" customHeight="1" x14ac:dyDescent="0.35">
      <c r="A379" s="383"/>
      <c r="B379" s="384"/>
      <c r="C379" s="385"/>
      <c r="D379" s="386"/>
      <c r="E379" s="387"/>
      <c r="F379" s="410"/>
      <c r="G379" s="387"/>
    </row>
    <row r="380" spans="1:7" s="160" customFormat="1" x14ac:dyDescent="0.35">
      <c r="A380" s="388"/>
      <c r="B380" s="389"/>
      <c r="C380" s="390"/>
      <c r="D380" s="391"/>
      <c r="E380" s="391"/>
      <c r="F380" s="393" t="s">
        <v>2</v>
      </c>
      <c r="G380" s="393"/>
    </row>
    <row r="381" spans="1:7" s="160" customFormat="1" ht="24" thickBot="1" x14ac:dyDescent="0.4">
      <c r="A381" s="394"/>
      <c r="B381" s="395"/>
      <c r="C381" s="396" t="s">
        <v>753</v>
      </c>
      <c r="D381" s="397" t="s">
        <v>3</v>
      </c>
      <c r="E381" s="397" t="s">
        <v>1</v>
      </c>
      <c r="F381" s="397" t="s">
        <v>4</v>
      </c>
      <c r="G381" s="397" t="s">
        <v>5</v>
      </c>
    </row>
    <row r="382" spans="1:7" s="160" customFormat="1" ht="18" customHeight="1" x14ac:dyDescent="0.35">
      <c r="A382" s="398"/>
      <c r="B382" s="399"/>
      <c r="C382" s="400"/>
      <c r="D382" s="409"/>
      <c r="E382" s="401"/>
      <c r="F382" s="411"/>
      <c r="G382" s="402">
        <f t="shared" ref="G382:G383" si="32">ROUND(D382*F382,2)</f>
        <v>0</v>
      </c>
    </row>
    <row r="383" spans="1:7" s="160" customFormat="1" ht="46.5" x14ac:dyDescent="0.35">
      <c r="A383" s="398"/>
      <c r="B383" s="399"/>
      <c r="C383" s="412" t="s">
        <v>885</v>
      </c>
      <c r="D383" s="409"/>
      <c r="E383" s="401"/>
      <c r="F383" s="411"/>
      <c r="G383" s="402">
        <f t="shared" si="32"/>
        <v>0</v>
      </c>
    </row>
    <row r="384" spans="1:7" s="160" customFormat="1" x14ac:dyDescent="0.35">
      <c r="A384" s="398"/>
      <c r="B384" s="399"/>
      <c r="C384" s="400"/>
      <c r="D384" s="409"/>
      <c r="E384" s="401"/>
      <c r="F384" s="411"/>
      <c r="G384" s="402">
        <f t="shared" si="22"/>
        <v>0</v>
      </c>
    </row>
    <row r="385" spans="1:7" s="160" customFormat="1" ht="93" x14ac:dyDescent="0.35">
      <c r="A385" s="398"/>
      <c r="B385" s="399"/>
      <c r="C385" s="400" t="s">
        <v>829</v>
      </c>
      <c r="D385" s="409">
        <v>54</v>
      </c>
      <c r="E385" s="401" t="s">
        <v>772</v>
      </c>
      <c r="F385" s="411"/>
      <c r="G385" s="402">
        <f t="shared" ref="G385:G403" si="33">D385*F385</f>
        <v>0</v>
      </c>
    </row>
    <row r="386" spans="1:7" s="160" customFormat="1" x14ac:dyDescent="0.35">
      <c r="A386" s="398"/>
      <c r="B386" s="399"/>
      <c r="C386" s="400"/>
      <c r="D386" s="409"/>
      <c r="E386" s="401"/>
      <c r="F386" s="411"/>
      <c r="G386" s="402">
        <f t="shared" si="33"/>
        <v>0</v>
      </c>
    </row>
    <row r="387" spans="1:7" s="160" customFormat="1" ht="116.25" x14ac:dyDescent="0.35">
      <c r="A387" s="398"/>
      <c r="B387" s="399"/>
      <c r="C387" s="400" t="s">
        <v>831</v>
      </c>
      <c r="D387" s="409">
        <v>282</v>
      </c>
      <c r="E387" s="401" t="s">
        <v>772</v>
      </c>
      <c r="F387" s="411"/>
      <c r="G387" s="402">
        <f t="shared" si="33"/>
        <v>0</v>
      </c>
    </row>
    <row r="388" spans="1:7" s="160" customFormat="1" x14ac:dyDescent="0.35">
      <c r="A388" s="398"/>
      <c r="B388" s="399"/>
      <c r="C388" s="400"/>
      <c r="D388" s="409"/>
      <c r="E388" s="401"/>
      <c r="F388" s="411"/>
      <c r="G388" s="402">
        <f t="shared" si="33"/>
        <v>0</v>
      </c>
    </row>
    <row r="389" spans="1:7" s="160" customFormat="1" ht="93" x14ac:dyDescent="0.35">
      <c r="A389" s="398"/>
      <c r="B389" s="399"/>
      <c r="C389" s="400" t="s">
        <v>828</v>
      </c>
      <c r="D389" s="409">
        <v>20</v>
      </c>
      <c r="E389" s="401" t="s">
        <v>26</v>
      </c>
      <c r="F389" s="411"/>
      <c r="G389" s="402">
        <f t="shared" si="33"/>
        <v>0</v>
      </c>
    </row>
    <row r="390" spans="1:7" s="160" customFormat="1" x14ac:dyDescent="0.35">
      <c r="A390" s="398"/>
      <c r="B390" s="399"/>
      <c r="C390" s="400"/>
      <c r="D390" s="409"/>
      <c r="E390" s="401"/>
      <c r="F390" s="411"/>
      <c r="G390" s="402">
        <f t="shared" si="33"/>
        <v>0</v>
      </c>
    </row>
    <row r="391" spans="1:7" s="160" customFormat="1" ht="69.75" x14ac:dyDescent="0.35">
      <c r="A391" s="398"/>
      <c r="B391" s="399"/>
      <c r="C391" s="400" t="s">
        <v>827</v>
      </c>
      <c r="D391" s="409">
        <v>164</v>
      </c>
      <c r="E391" s="401" t="s">
        <v>26</v>
      </c>
      <c r="F391" s="411"/>
      <c r="G391" s="402">
        <f t="shared" si="33"/>
        <v>0</v>
      </c>
    </row>
    <row r="392" spans="1:7" s="160" customFormat="1" x14ac:dyDescent="0.35">
      <c r="A392" s="398"/>
      <c r="B392" s="399"/>
      <c r="C392" s="400"/>
      <c r="D392" s="409"/>
      <c r="E392" s="401"/>
      <c r="F392" s="411"/>
      <c r="G392" s="402">
        <f t="shared" si="33"/>
        <v>0</v>
      </c>
    </row>
    <row r="393" spans="1:7" s="160" customFormat="1" x14ac:dyDescent="0.35">
      <c r="A393" s="398"/>
      <c r="B393" s="399"/>
      <c r="C393" s="400" t="s">
        <v>826</v>
      </c>
      <c r="D393" s="409">
        <v>12</v>
      </c>
      <c r="E393" s="401" t="s">
        <v>761</v>
      </c>
      <c r="F393" s="411"/>
      <c r="G393" s="402">
        <f t="shared" si="33"/>
        <v>0</v>
      </c>
    </row>
    <row r="394" spans="1:7" s="160" customFormat="1" x14ac:dyDescent="0.35">
      <c r="A394" s="398"/>
      <c r="B394" s="399"/>
      <c r="C394" s="400"/>
      <c r="D394" s="409"/>
      <c r="E394" s="401"/>
      <c r="F394" s="411"/>
      <c r="G394" s="402">
        <f t="shared" si="33"/>
        <v>0</v>
      </c>
    </row>
    <row r="395" spans="1:7" s="160" customFormat="1" ht="46.5" x14ac:dyDescent="0.35">
      <c r="A395" s="398"/>
      <c r="B395" s="399"/>
      <c r="C395" s="400" t="s">
        <v>846</v>
      </c>
      <c r="D395" s="409">
        <v>42</v>
      </c>
      <c r="E395" s="401" t="s">
        <v>777</v>
      </c>
      <c r="F395" s="411"/>
      <c r="G395" s="402">
        <f t="shared" si="33"/>
        <v>0</v>
      </c>
    </row>
    <row r="396" spans="1:7" s="160" customFormat="1" x14ac:dyDescent="0.35">
      <c r="A396" s="398"/>
      <c r="B396" s="399"/>
      <c r="C396" s="400"/>
      <c r="D396" s="409"/>
      <c r="E396" s="401"/>
      <c r="F396" s="411"/>
      <c r="G396" s="402">
        <f t="shared" si="33"/>
        <v>0</v>
      </c>
    </row>
    <row r="397" spans="1:7" s="160" customFormat="1" ht="46.5" x14ac:dyDescent="0.35">
      <c r="A397" s="398"/>
      <c r="B397" s="399"/>
      <c r="C397" s="400" t="s">
        <v>847</v>
      </c>
      <c r="D397" s="409">
        <v>6</v>
      </c>
      <c r="E397" s="401" t="s">
        <v>824</v>
      </c>
      <c r="F397" s="411"/>
      <c r="G397" s="402">
        <f t="shared" si="33"/>
        <v>0</v>
      </c>
    </row>
    <row r="398" spans="1:7" s="160" customFormat="1" x14ac:dyDescent="0.35">
      <c r="A398" s="398"/>
      <c r="B398" s="399"/>
      <c r="C398" s="400"/>
      <c r="D398" s="409"/>
      <c r="E398" s="401"/>
      <c r="F398" s="411"/>
      <c r="G398" s="402">
        <f t="shared" si="33"/>
        <v>0</v>
      </c>
    </row>
    <row r="399" spans="1:7" s="160" customFormat="1" ht="93" x14ac:dyDescent="0.35">
      <c r="A399" s="398"/>
      <c r="B399" s="399"/>
      <c r="C399" s="400" t="s">
        <v>888</v>
      </c>
      <c r="D399" s="409">
        <v>44</v>
      </c>
      <c r="E399" s="401" t="s">
        <v>26</v>
      </c>
      <c r="F399" s="411"/>
      <c r="G399" s="402">
        <f t="shared" si="33"/>
        <v>0</v>
      </c>
    </row>
    <row r="400" spans="1:7" s="160" customFormat="1" x14ac:dyDescent="0.35">
      <c r="A400" s="398"/>
      <c r="B400" s="399"/>
      <c r="C400" s="400"/>
      <c r="D400" s="409"/>
      <c r="E400" s="401"/>
      <c r="F400" s="411"/>
      <c r="G400" s="402">
        <f t="shared" si="33"/>
        <v>0</v>
      </c>
    </row>
    <row r="401" spans="1:7" s="160" customFormat="1" ht="46.5" x14ac:dyDescent="0.35">
      <c r="A401" s="398"/>
      <c r="B401" s="399"/>
      <c r="C401" s="400" t="s">
        <v>889</v>
      </c>
      <c r="D401" s="409">
        <v>6</v>
      </c>
      <c r="E401" s="401" t="s">
        <v>761</v>
      </c>
      <c r="F401" s="411"/>
      <c r="G401" s="402">
        <f t="shared" si="33"/>
        <v>0</v>
      </c>
    </row>
    <row r="402" spans="1:7" s="160" customFormat="1" x14ac:dyDescent="0.35">
      <c r="A402" s="398"/>
      <c r="B402" s="399"/>
      <c r="C402" s="400"/>
      <c r="D402" s="409"/>
      <c r="E402" s="401"/>
      <c r="F402" s="411"/>
      <c r="G402" s="402">
        <f t="shared" si="33"/>
        <v>0</v>
      </c>
    </row>
    <row r="403" spans="1:7" s="160" customFormat="1" ht="46.5" x14ac:dyDescent="0.35">
      <c r="A403" s="398"/>
      <c r="B403" s="399"/>
      <c r="C403" s="400" t="s">
        <v>886</v>
      </c>
      <c r="D403" s="409">
        <v>36</v>
      </c>
      <c r="E403" s="401" t="s">
        <v>26</v>
      </c>
      <c r="F403" s="411"/>
      <c r="G403" s="402">
        <f t="shared" si="33"/>
        <v>0</v>
      </c>
    </row>
    <row r="404" spans="1:7" s="160" customFormat="1" x14ac:dyDescent="0.35">
      <c r="A404" s="398"/>
      <c r="B404" s="399"/>
      <c r="C404" s="400"/>
      <c r="D404" s="409"/>
      <c r="E404" s="401"/>
      <c r="F404" s="411"/>
      <c r="G404" s="402">
        <f t="shared" ref="G404:G410" si="34">ROUND(D404*F404,2)</f>
        <v>0</v>
      </c>
    </row>
    <row r="405" spans="1:7" s="160" customFormat="1" ht="46.5" x14ac:dyDescent="0.35">
      <c r="A405" s="398"/>
      <c r="B405" s="399"/>
      <c r="C405" s="400" t="s">
        <v>887</v>
      </c>
      <c r="D405" s="409">
        <v>36</v>
      </c>
      <c r="E405" s="401" t="s">
        <v>26</v>
      </c>
      <c r="F405" s="411"/>
      <c r="G405" s="402">
        <f t="shared" si="34"/>
        <v>0</v>
      </c>
    </row>
    <row r="406" spans="1:7" s="160" customFormat="1" x14ac:dyDescent="0.35">
      <c r="A406" s="398"/>
      <c r="B406" s="399"/>
      <c r="C406" s="400"/>
      <c r="D406" s="409"/>
      <c r="E406" s="401"/>
      <c r="F406" s="411"/>
      <c r="G406" s="402">
        <f t="shared" si="34"/>
        <v>0</v>
      </c>
    </row>
    <row r="407" spans="1:7" s="160" customFormat="1" x14ac:dyDescent="0.35">
      <c r="A407" s="398"/>
      <c r="B407" s="399"/>
      <c r="C407" s="400" t="s">
        <v>830</v>
      </c>
      <c r="D407" s="409">
        <v>1</v>
      </c>
      <c r="E407" s="401" t="s">
        <v>819</v>
      </c>
      <c r="F407" s="411"/>
      <c r="G407" s="402">
        <f t="shared" si="34"/>
        <v>0</v>
      </c>
    </row>
    <row r="408" spans="1:7" s="160" customFormat="1" ht="24" thickBot="1" x14ac:dyDescent="0.4">
      <c r="A408" s="398"/>
      <c r="B408" s="399"/>
      <c r="C408" s="400"/>
      <c r="D408" s="409"/>
      <c r="E408" s="401"/>
      <c r="F408" s="411"/>
      <c r="G408" s="402">
        <f t="shared" si="34"/>
        <v>0</v>
      </c>
    </row>
    <row r="409" spans="1:7" s="160" customFormat="1" ht="24" thickBot="1" x14ac:dyDescent="0.4">
      <c r="A409" s="398"/>
      <c r="B409" s="399"/>
      <c r="C409" s="404" t="s">
        <v>760</v>
      </c>
      <c r="D409" s="409"/>
      <c r="E409" s="401"/>
      <c r="F409" s="411"/>
      <c r="G409" s="405">
        <f>SUM(G384:G408)</f>
        <v>0</v>
      </c>
    </row>
    <row r="410" spans="1:7" s="160" customFormat="1" ht="24" thickBot="1" x14ac:dyDescent="0.4">
      <c r="A410" s="398"/>
      <c r="B410" s="399"/>
      <c r="C410" s="400"/>
      <c r="D410" s="409"/>
      <c r="E410" s="401"/>
      <c r="F410" s="411"/>
      <c r="G410" s="402">
        <f t="shared" si="34"/>
        <v>0</v>
      </c>
    </row>
    <row r="411" spans="1:7" ht="18.75" customHeight="1" x14ac:dyDescent="0.35">
      <c r="A411" s="383"/>
      <c r="B411" s="384"/>
      <c r="C411" s="385"/>
      <c r="D411" s="386"/>
      <c r="E411" s="387"/>
      <c r="F411" s="410"/>
      <c r="G411" s="387"/>
    </row>
    <row r="412" spans="1:7" s="160" customFormat="1" x14ac:dyDescent="0.35">
      <c r="A412" s="388"/>
      <c r="B412" s="389"/>
      <c r="C412" s="390"/>
      <c r="D412" s="391"/>
      <c r="E412" s="391"/>
      <c r="F412" s="393" t="s">
        <v>2</v>
      </c>
      <c r="G412" s="393"/>
    </row>
    <row r="413" spans="1:7" s="160" customFormat="1" ht="24" thickBot="1" x14ac:dyDescent="0.4">
      <c r="A413" s="394"/>
      <c r="B413" s="395"/>
      <c r="C413" s="396" t="s">
        <v>753</v>
      </c>
      <c r="D413" s="397" t="s">
        <v>3</v>
      </c>
      <c r="E413" s="397" t="s">
        <v>1</v>
      </c>
      <c r="F413" s="397" t="s">
        <v>4</v>
      </c>
      <c r="G413" s="397" t="s">
        <v>5</v>
      </c>
    </row>
    <row r="414" spans="1:7" s="160" customFormat="1" ht="18" customHeight="1" x14ac:dyDescent="0.35">
      <c r="A414" s="398"/>
      <c r="B414" s="399"/>
      <c r="C414" s="400"/>
      <c r="D414" s="409"/>
      <c r="E414" s="401"/>
      <c r="F414" s="411"/>
      <c r="G414" s="402">
        <f t="shared" ref="G414:G440" si="35">ROUND(D414*F414,2)</f>
        <v>0</v>
      </c>
    </row>
    <row r="415" spans="1:7" s="160" customFormat="1" x14ac:dyDescent="0.35">
      <c r="A415" s="398"/>
      <c r="B415" s="399"/>
      <c r="C415" s="412" t="s">
        <v>835</v>
      </c>
      <c r="D415" s="409"/>
      <c r="E415" s="401"/>
      <c r="F415" s="411"/>
      <c r="G415" s="402">
        <f t="shared" si="35"/>
        <v>0</v>
      </c>
    </row>
    <row r="416" spans="1:7" s="160" customFormat="1" x14ac:dyDescent="0.35">
      <c r="A416" s="398"/>
      <c r="B416" s="399"/>
      <c r="C416" s="400"/>
      <c r="D416" s="409"/>
      <c r="E416" s="401"/>
      <c r="F416" s="411"/>
      <c r="G416" s="402">
        <f t="shared" si="35"/>
        <v>0</v>
      </c>
    </row>
    <row r="417" spans="1:7" s="160" customFormat="1" ht="46.5" x14ac:dyDescent="0.35">
      <c r="A417" s="398"/>
      <c r="B417" s="399"/>
      <c r="C417" s="400" t="s">
        <v>833</v>
      </c>
      <c r="D417" s="409">
        <v>130</v>
      </c>
      <c r="E417" s="401" t="s">
        <v>772</v>
      </c>
      <c r="F417" s="411"/>
      <c r="G417" s="402">
        <f t="shared" ref="G417:G432" si="36">D417*F417</f>
        <v>0</v>
      </c>
    </row>
    <row r="418" spans="1:7" s="160" customFormat="1" x14ac:dyDescent="0.35">
      <c r="A418" s="398"/>
      <c r="B418" s="399"/>
      <c r="C418" s="400"/>
      <c r="D418" s="409"/>
      <c r="E418" s="401"/>
      <c r="F418" s="411"/>
      <c r="G418" s="402">
        <f t="shared" si="36"/>
        <v>0</v>
      </c>
    </row>
    <row r="419" spans="1:7" s="160" customFormat="1" ht="46.5" x14ac:dyDescent="0.35">
      <c r="A419" s="398"/>
      <c r="B419" s="399"/>
      <c r="C419" s="400" t="s">
        <v>894</v>
      </c>
      <c r="D419" s="409">
        <v>130</v>
      </c>
      <c r="E419" s="401" t="s">
        <v>772</v>
      </c>
      <c r="F419" s="411"/>
      <c r="G419" s="402">
        <f t="shared" si="36"/>
        <v>0</v>
      </c>
    </row>
    <row r="420" spans="1:7" s="160" customFormat="1" x14ac:dyDescent="0.35">
      <c r="A420" s="398"/>
      <c r="B420" s="399"/>
      <c r="C420" s="400"/>
      <c r="D420" s="409"/>
      <c r="E420" s="401"/>
      <c r="F420" s="411"/>
      <c r="G420" s="402">
        <f t="shared" si="36"/>
        <v>0</v>
      </c>
    </row>
    <row r="421" spans="1:7" s="160" customFormat="1" ht="69.75" x14ac:dyDescent="0.35">
      <c r="A421" s="398"/>
      <c r="B421" s="399"/>
      <c r="C421" s="400" t="s">
        <v>895</v>
      </c>
      <c r="D421" s="409">
        <v>94</v>
      </c>
      <c r="E421" s="401" t="s">
        <v>26</v>
      </c>
      <c r="F421" s="411"/>
      <c r="G421" s="402">
        <f t="shared" si="36"/>
        <v>0</v>
      </c>
    </row>
    <row r="422" spans="1:7" s="160" customFormat="1" x14ac:dyDescent="0.35">
      <c r="A422" s="398"/>
      <c r="B422" s="399"/>
      <c r="C422" s="400"/>
      <c r="D422" s="409"/>
      <c r="E422" s="401"/>
      <c r="F422" s="411"/>
      <c r="G422" s="402">
        <f t="shared" si="36"/>
        <v>0</v>
      </c>
    </row>
    <row r="423" spans="1:7" s="160" customFormat="1" ht="46.5" x14ac:dyDescent="0.35">
      <c r="A423" s="398"/>
      <c r="B423" s="399"/>
      <c r="C423" s="400" t="s">
        <v>896</v>
      </c>
      <c r="D423" s="409">
        <v>76</v>
      </c>
      <c r="E423" s="401" t="s">
        <v>772</v>
      </c>
      <c r="F423" s="411"/>
      <c r="G423" s="402">
        <f t="shared" si="36"/>
        <v>0</v>
      </c>
    </row>
    <row r="424" spans="1:7" s="160" customFormat="1" x14ac:dyDescent="0.35">
      <c r="A424" s="398"/>
      <c r="B424" s="399"/>
      <c r="C424" s="400"/>
      <c r="D424" s="409"/>
      <c r="E424" s="401"/>
      <c r="F424" s="411"/>
      <c r="G424" s="402">
        <f t="shared" si="36"/>
        <v>0</v>
      </c>
    </row>
    <row r="425" spans="1:7" s="160" customFormat="1" ht="119.25" x14ac:dyDescent="0.35">
      <c r="A425" s="398"/>
      <c r="B425" s="399"/>
      <c r="C425" s="400" t="s">
        <v>942</v>
      </c>
      <c r="D425" s="409">
        <v>568</v>
      </c>
      <c r="E425" s="401" t="s">
        <v>772</v>
      </c>
      <c r="F425" s="411"/>
      <c r="G425" s="402">
        <f t="shared" si="36"/>
        <v>0</v>
      </c>
    </row>
    <row r="426" spans="1:7" s="160" customFormat="1" x14ac:dyDescent="0.35">
      <c r="A426" s="398"/>
      <c r="B426" s="399"/>
      <c r="C426" s="400"/>
      <c r="D426" s="409"/>
      <c r="E426" s="401"/>
      <c r="F426" s="411"/>
      <c r="G426" s="402">
        <f t="shared" si="36"/>
        <v>0</v>
      </c>
    </row>
    <row r="427" spans="1:7" s="160" customFormat="1" ht="119.25" x14ac:dyDescent="0.35">
      <c r="A427" s="398"/>
      <c r="B427" s="399"/>
      <c r="C427" s="400" t="s">
        <v>943</v>
      </c>
      <c r="D427" s="409">
        <v>76</v>
      </c>
      <c r="E427" s="401" t="s">
        <v>772</v>
      </c>
      <c r="F427" s="411"/>
      <c r="G427" s="402">
        <f t="shared" si="36"/>
        <v>0</v>
      </c>
    </row>
    <row r="428" spans="1:7" s="160" customFormat="1" x14ac:dyDescent="0.35">
      <c r="A428" s="398"/>
      <c r="B428" s="399"/>
      <c r="C428" s="400"/>
      <c r="D428" s="409"/>
      <c r="E428" s="401"/>
      <c r="F428" s="411"/>
      <c r="G428" s="402">
        <f t="shared" si="36"/>
        <v>0</v>
      </c>
    </row>
    <row r="429" spans="1:7" s="160" customFormat="1" ht="119.25" x14ac:dyDescent="0.35">
      <c r="A429" s="398"/>
      <c r="B429" s="399"/>
      <c r="C429" s="400" t="s">
        <v>837</v>
      </c>
      <c r="D429" s="409">
        <v>420</v>
      </c>
      <c r="E429" s="401" t="s">
        <v>26</v>
      </c>
      <c r="F429" s="411"/>
      <c r="G429" s="402">
        <f t="shared" si="36"/>
        <v>0</v>
      </c>
    </row>
    <row r="430" spans="1:7" s="160" customFormat="1" x14ac:dyDescent="0.35">
      <c r="A430" s="398"/>
      <c r="B430" s="399"/>
      <c r="C430" s="400"/>
      <c r="D430" s="409"/>
      <c r="E430" s="401"/>
      <c r="F430" s="411"/>
      <c r="G430" s="402">
        <f t="shared" si="36"/>
        <v>0</v>
      </c>
    </row>
    <row r="431" spans="1:7" s="160" customFormat="1" ht="142.5" x14ac:dyDescent="0.35">
      <c r="A431" s="398"/>
      <c r="B431" s="399"/>
      <c r="C431" s="400" t="s">
        <v>944</v>
      </c>
      <c r="D431" s="409">
        <v>274</v>
      </c>
      <c r="E431" s="401" t="s">
        <v>772</v>
      </c>
      <c r="F431" s="411"/>
      <c r="G431" s="402">
        <f t="shared" si="36"/>
        <v>0</v>
      </c>
    </row>
    <row r="432" spans="1:7" s="160" customFormat="1" x14ac:dyDescent="0.35">
      <c r="A432" s="398"/>
      <c r="B432" s="399"/>
      <c r="C432" s="400"/>
      <c r="D432" s="409"/>
      <c r="E432" s="401"/>
      <c r="F432" s="411"/>
      <c r="G432" s="402">
        <f t="shared" si="36"/>
        <v>0</v>
      </c>
    </row>
    <row r="433" spans="1:7" s="160" customFormat="1" x14ac:dyDescent="0.35">
      <c r="A433" s="398"/>
      <c r="B433" s="399"/>
      <c r="C433" s="400"/>
      <c r="D433" s="409"/>
      <c r="E433" s="401"/>
      <c r="F433" s="411"/>
      <c r="G433" s="402">
        <f t="shared" si="35"/>
        <v>0</v>
      </c>
    </row>
    <row r="434" spans="1:7" s="160" customFormat="1" ht="24" thickBot="1" x14ac:dyDescent="0.4">
      <c r="A434" s="398"/>
      <c r="B434" s="399"/>
      <c r="C434" s="400"/>
      <c r="D434" s="409"/>
      <c r="E434" s="401"/>
      <c r="F434" s="411"/>
      <c r="G434" s="402"/>
    </row>
    <row r="435" spans="1:7" s="160" customFormat="1" ht="24" thickBot="1" x14ac:dyDescent="0.4">
      <c r="A435" s="398"/>
      <c r="B435" s="399"/>
      <c r="C435" s="404" t="s">
        <v>760</v>
      </c>
      <c r="D435" s="409"/>
      <c r="E435" s="401"/>
      <c r="F435" s="411"/>
      <c r="G435" s="405">
        <f>SUM(G416:G434)</f>
        <v>0</v>
      </c>
    </row>
    <row r="436" spans="1:7" s="160" customFormat="1" x14ac:dyDescent="0.35">
      <c r="A436" s="398"/>
      <c r="B436" s="399"/>
      <c r="C436" s="400"/>
      <c r="D436" s="409"/>
      <c r="E436" s="401"/>
      <c r="F436" s="411"/>
      <c r="G436" s="402"/>
    </row>
    <row r="437" spans="1:7" s="160" customFormat="1" x14ac:dyDescent="0.35">
      <c r="A437" s="398"/>
      <c r="B437" s="399"/>
      <c r="C437" s="400"/>
      <c r="D437" s="409"/>
      <c r="E437" s="401"/>
      <c r="F437" s="411"/>
      <c r="G437" s="402"/>
    </row>
    <row r="438" spans="1:7" s="160" customFormat="1" x14ac:dyDescent="0.35">
      <c r="A438" s="398"/>
      <c r="B438" s="399"/>
      <c r="C438" s="400"/>
      <c r="D438" s="409"/>
      <c r="E438" s="401"/>
      <c r="F438" s="411"/>
      <c r="G438" s="402"/>
    </row>
    <row r="439" spans="1:7" s="160" customFormat="1" x14ac:dyDescent="0.35">
      <c r="A439" s="398"/>
      <c r="B439" s="399"/>
      <c r="C439" s="400"/>
      <c r="D439" s="409"/>
      <c r="E439" s="401"/>
      <c r="F439" s="411"/>
      <c r="G439" s="402">
        <f t="shared" si="35"/>
        <v>0</v>
      </c>
    </row>
    <row r="440" spans="1:7" s="160" customFormat="1" ht="24" thickBot="1" x14ac:dyDescent="0.4">
      <c r="A440" s="398"/>
      <c r="B440" s="399"/>
      <c r="C440" s="400"/>
      <c r="D440" s="409"/>
      <c r="E440" s="401"/>
      <c r="F440" s="411"/>
      <c r="G440" s="402">
        <f t="shared" si="35"/>
        <v>0</v>
      </c>
    </row>
    <row r="441" spans="1:7" ht="18.75" customHeight="1" x14ac:dyDescent="0.35">
      <c r="A441" s="383"/>
      <c r="B441" s="384"/>
      <c r="C441" s="385"/>
      <c r="D441" s="386"/>
      <c r="E441" s="387"/>
      <c r="F441" s="410"/>
      <c r="G441" s="387"/>
    </row>
    <row r="442" spans="1:7" s="160" customFormat="1" x14ac:dyDescent="0.35">
      <c r="A442" s="388"/>
      <c r="B442" s="389"/>
      <c r="C442" s="390"/>
      <c r="D442" s="391"/>
      <c r="E442" s="391"/>
      <c r="F442" s="393" t="s">
        <v>2</v>
      </c>
      <c r="G442" s="393"/>
    </row>
    <row r="443" spans="1:7" s="160" customFormat="1" ht="24" thickBot="1" x14ac:dyDescent="0.4">
      <c r="A443" s="394"/>
      <c r="B443" s="395"/>
      <c r="C443" s="396" t="s">
        <v>753</v>
      </c>
      <c r="D443" s="397" t="s">
        <v>3</v>
      </c>
      <c r="E443" s="397" t="s">
        <v>1</v>
      </c>
      <c r="F443" s="397" t="s">
        <v>4</v>
      </c>
      <c r="G443" s="397" t="s">
        <v>5</v>
      </c>
    </row>
    <row r="444" spans="1:7" s="160" customFormat="1" ht="18" customHeight="1" x14ac:dyDescent="0.35">
      <c r="A444" s="398"/>
      <c r="B444" s="399"/>
      <c r="C444" s="400"/>
      <c r="D444" s="409"/>
      <c r="E444" s="401"/>
      <c r="F444" s="411"/>
      <c r="G444" s="402">
        <f t="shared" ref="G444:G445" si="37">ROUND(D444*F444,2)</f>
        <v>0</v>
      </c>
    </row>
    <row r="445" spans="1:7" s="160" customFormat="1" x14ac:dyDescent="0.35">
      <c r="A445" s="398"/>
      <c r="B445" s="399"/>
      <c r="C445" s="412" t="s">
        <v>836</v>
      </c>
      <c r="D445" s="409"/>
      <c r="E445" s="401"/>
      <c r="F445" s="411"/>
      <c r="G445" s="402">
        <f t="shared" si="37"/>
        <v>0</v>
      </c>
    </row>
    <row r="446" spans="1:7" s="160" customFormat="1" x14ac:dyDescent="0.35">
      <c r="A446" s="398"/>
      <c r="B446" s="399"/>
      <c r="C446" s="400"/>
      <c r="D446" s="409"/>
      <c r="E446" s="401"/>
      <c r="F446" s="411"/>
      <c r="G446" s="402">
        <f t="shared" ref="G446:G460" si="38">D446*F446</f>
        <v>0</v>
      </c>
    </row>
    <row r="447" spans="1:7" s="160" customFormat="1" ht="119.25" x14ac:dyDescent="0.35">
      <c r="A447" s="398"/>
      <c r="B447" s="399"/>
      <c r="C447" s="400" t="s">
        <v>945</v>
      </c>
      <c r="D447" s="409">
        <v>28</v>
      </c>
      <c r="E447" s="401" t="s">
        <v>26</v>
      </c>
      <c r="F447" s="411"/>
      <c r="G447" s="402">
        <f t="shared" si="38"/>
        <v>0</v>
      </c>
    </row>
    <row r="448" spans="1:7" s="160" customFormat="1" x14ac:dyDescent="0.35">
      <c r="A448" s="398"/>
      <c r="B448" s="399"/>
      <c r="C448" s="400"/>
      <c r="D448" s="409"/>
      <c r="E448" s="401"/>
      <c r="F448" s="411"/>
      <c r="G448" s="402">
        <f t="shared" si="38"/>
        <v>0</v>
      </c>
    </row>
    <row r="449" spans="1:7" s="160" customFormat="1" ht="119.25" x14ac:dyDescent="0.35">
      <c r="A449" s="398"/>
      <c r="B449" s="399"/>
      <c r="C449" s="400" t="s">
        <v>946</v>
      </c>
      <c r="D449" s="409">
        <v>36</v>
      </c>
      <c r="E449" s="401" t="s">
        <v>26</v>
      </c>
      <c r="F449" s="411"/>
      <c r="G449" s="402">
        <f t="shared" si="38"/>
        <v>0</v>
      </c>
    </row>
    <row r="450" spans="1:7" s="160" customFormat="1" x14ac:dyDescent="0.35">
      <c r="A450" s="398"/>
      <c r="B450" s="399"/>
      <c r="C450" s="400"/>
      <c r="D450" s="409"/>
      <c r="E450" s="401"/>
      <c r="F450" s="411"/>
      <c r="G450" s="402">
        <f t="shared" si="38"/>
        <v>0</v>
      </c>
    </row>
    <row r="451" spans="1:7" s="160" customFormat="1" ht="119.25" x14ac:dyDescent="0.35">
      <c r="A451" s="398"/>
      <c r="B451" s="399"/>
      <c r="C451" s="400" t="s">
        <v>947</v>
      </c>
      <c r="D451" s="409">
        <v>12</v>
      </c>
      <c r="E451" s="401" t="s">
        <v>26</v>
      </c>
      <c r="F451" s="411"/>
      <c r="G451" s="402">
        <f t="shared" si="38"/>
        <v>0</v>
      </c>
    </row>
    <row r="452" spans="1:7" s="160" customFormat="1" x14ac:dyDescent="0.35">
      <c r="A452" s="398"/>
      <c r="B452" s="399"/>
      <c r="C452" s="400"/>
      <c r="D452" s="409"/>
      <c r="E452" s="401"/>
      <c r="F452" s="411"/>
      <c r="G452" s="402">
        <f t="shared" si="38"/>
        <v>0</v>
      </c>
    </row>
    <row r="453" spans="1:7" s="160" customFormat="1" ht="119.25" x14ac:dyDescent="0.35">
      <c r="A453" s="398"/>
      <c r="B453" s="399"/>
      <c r="C453" s="400" t="s">
        <v>948</v>
      </c>
      <c r="D453" s="409">
        <v>60</v>
      </c>
      <c r="E453" s="401" t="s">
        <v>26</v>
      </c>
      <c r="F453" s="411"/>
      <c r="G453" s="402">
        <f t="shared" si="38"/>
        <v>0</v>
      </c>
    </row>
    <row r="454" spans="1:7" s="160" customFormat="1" x14ac:dyDescent="0.35">
      <c r="A454" s="398"/>
      <c r="B454" s="399"/>
      <c r="C454" s="400"/>
      <c r="D454" s="409"/>
      <c r="E454" s="401"/>
      <c r="F454" s="411"/>
      <c r="G454" s="402">
        <f t="shared" si="38"/>
        <v>0</v>
      </c>
    </row>
    <row r="455" spans="1:7" s="160" customFormat="1" ht="119.25" x14ac:dyDescent="0.35">
      <c r="A455" s="398"/>
      <c r="B455" s="399"/>
      <c r="C455" s="400" t="s">
        <v>897</v>
      </c>
      <c r="D455" s="409">
        <v>42</v>
      </c>
      <c r="E455" s="401" t="s">
        <v>26</v>
      </c>
      <c r="F455" s="411"/>
      <c r="G455" s="402">
        <f t="shared" si="38"/>
        <v>0</v>
      </c>
    </row>
    <row r="456" spans="1:7" s="160" customFormat="1" x14ac:dyDescent="0.35">
      <c r="A456" s="398"/>
      <c r="B456" s="399"/>
      <c r="C456" s="400"/>
      <c r="D456" s="409"/>
      <c r="E456" s="401"/>
      <c r="F456" s="411"/>
      <c r="G456" s="402">
        <f t="shared" si="38"/>
        <v>0</v>
      </c>
    </row>
    <row r="457" spans="1:7" s="160" customFormat="1" ht="96" x14ac:dyDescent="0.35">
      <c r="A457" s="398"/>
      <c r="B457" s="399"/>
      <c r="C457" s="400" t="s">
        <v>838</v>
      </c>
      <c r="D457" s="409">
        <v>56</v>
      </c>
      <c r="E457" s="401" t="s">
        <v>26</v>
      </c>
      <c r="F457" s="411"/>
      <c r="G457" s="402">
        <f t="shared" si="38"/>
        <v>0</v>
      </c>
    </row>
    <row r="458" spans="1:7" s="160" customFormat="1" x14ac:dyDescent="0.35">
      <c r="A458" s="398"/>
      <c r="B458" s="399"/>
      <c r="C458" s="400"/>
      <c r="D458" s="409"/>
      <c r="E458" s="401"/>
      <c r="F458" s="411"/>
      <c r="G458" s="402">
        <f t="shared" si="38"/>
        <v>0</v>
      </c>
    </row>
    <row r="459" spans="1:7" s="160" customFormat="1" ht="142.5" x14ac:dyDescent="0.35">
      <c r="A459" s="398"/>
      <c r="B459" s="399"/>
      <c r="C459" s="400" t="s">
        <v>898</v>
      </c>
      <c r="D459" s="409">
        <v>72</v>
      </c>
      <c r="E459" s="401" t="s">
        <v>26</v>
      </c>
      <c r="F459" s="411"/>
      <c r="G459" s="402">
        <f t="shared" si="38"/>
        <v>0</v>
      </c>
    </row>
    <row r="460" spans="1:7" s="160" customFormat="1" ht="24" thickBot="1" x14ac:dyDescent="0.4">
      <c r="A460" s="398"/>
      <c r="B460" s="399"/>
      <c r="C460" s="400"/>
      <c r="D460" s="409"/>
      <c r="E460" s="401"/>
      <c r="F460" s="411"/>
      <c r="G460" s="402">
        <f t="shared" si="38"/>
        <v>0</v>
      </c>
    </row>
    <row r="461" spans="1:7" s="160" customFormat="1" ht="24" thickBot="1" x14ac:dyDescent="0.4">
      <c r="A461" s="398"/>
      <c r="B461" s="399"/>
      <c r="C461" s="404" t="s">
        <v>760</v>
      </c>
      <c r="D461" s="409"/>
      <c r="E461" s="401"/>
      <c r="F461" s="411"/>
      <c r="G461" s="405">
        <f>SUM(G447:G460)</f>
        <v>0</v>
      </c>
    </row>
    <row r="462" spans="1:7" ht="18.75" customHeight="1" x14ac:dyDescent="0.35">
      <c r="A462" s="383"/>
      <c r="B462" s="384"/>
      <c r="C462" s="385"/>
      <c r="D462" s="386"/>
      <c r="E462" s="387"/>
      <c r="F462" s="410"/>
      <c r="G462" s="387"/>
    </row>
    <row r="463" spans="1:7" s="160" customFormat="1" x14ac:dyDescent="0.35">
      <c r="A463" s="388"/>
      <c r="B463" s="389"/>
      <c r="C463" s="390"/>
      <c r="D463" s="391"/>
      <c r="E463" s="391"/>
      <c r="F463" s="393" t="s">
        <v>2</v>
      </c>
      <c r="G463" s="393"/>
    </row>
    <row r="464" spans="1:7" s="160" customFormat="1" ht="24" thickBot="1" x14ac:dyDescent="0.4">
      <c r="A464" s="394"/>
      <c r="B464" s="395"/>
      <c r="C464" s="396" t="s">
        <v>753</v>
      </c>
      <c r="D464" s="397" t="s">
        <v>3</v>
      </c>
      <c r="E464" s="397" t="s">
        <v>1</v>
      </c>
      <c r="F464" s="397" t="s">
        <v>4</v>
      </c>
      <c r="G464" s="397" t="s">
        <v>5</v>
      </c>
    </row>
    <row r="465" spans="1:7" s="160" customFormat="1" ht="18" customHeight="1" x14ac:dyDescent="0.35">
      <c r="A465" s="398"/>
      <c r="B465" s="399"/>
      <c r="C465" s="400"/>
      <c r="D465" s="409"/>
      <c r="E465" s="401"/>
      <c r="F465" s="411"/>
      <c r="G465" s="402">
        <f t="shared" ref="G465:G466" si="39">ROUND(D465*F465,2)</f>
        <v>0</v>
      </c>
    </row>
    <row r="466" spans="1:7" s="160" customFormat="1" x14ac:dyDescent="0.35">
      <c r="A466" s="398"/>
      <c r="B466" s="399"/>
      <c r="C466" s="412" t="s">
        <v>798</v>
      </c>
      <c r="D466" s="409"/>
      <c r="E466" s="401"/>
      <c r="F466" s="411"/>
      <c r="G466" s="402">
        <f t="shared" si="39"/>
        <v>0</v>
      </c>
    </row>
    <row r="467" spans="1:7" s="160" customFormat="1" x14ac:dyDescent="0.35">
      <c r="A467" s="398"/>
      <c r="B467" s="399"/>
      <c r="C467" s="400"/>
      <c r="D467" s="409"/>
      <c r="E467" s="401"/>
      <c r="F467" s="411"/>
      <c r="G467" s="402">
        <f t="shared" ref="G467:G475" si="40">D467*F467</f>
        <v>0</v>
      </c>
    </row>
    <row r="468" spans="1:7" s="160" customFormat="1" ht="139.5" x14ac:dyDescent="0.35">
      <c r="A468" s="398"/>
      <c r="B468" s="399"/>
      <c r="C468" s="400" t="s">
        <v>844</v>
      </c>
      <c r="D468" s="409">
        <v>72</v>
      </c>
      <c r="E468" s="401" t="s">
        <v>26</v>
      </c>
      <c r="F468" s="411"/>
      <c r="G468" s="402">
        <f t="shared" si="40"/>
        <v>0</v>
      </c>
    </row>
    <row r="469" spans="1:7" s="160" customFormat="1" x14ac:dyDescent="0.35">
      <c r="A469" s="398"/>
      <c r="B469" s="399"/>
      <c r="C469" s="400"/>
      <c r="D469" s="409"/>
      <c r="E469" s="401"/>
      <c r="F469" s="411"/>
      <c r="G469" s="402">
        <f t="shared" si="40"/>
        <v>0</v>
      </c>
    </row>
    <row r="470" spans="1:7" s="160" customFormat="1" ht="116.25" x14ac:dyDescent="0.35">
      <c r="A470" s="398"/>
      <c r="B470" s="399"/>
      <c r="C470" s="400" t="s">
        <v>845</v>
      </c>
      <c r="D470" s="409">
        <v>6</v>
      </c>
      <c r="E470" s="401" t="s">
        <v>761</v>
      </c>
      <c r="F470" s="411"/>
      <c r="G470" s="402">
        <f t="shared" si="40"/>
        <v>0</v>
      </c>
    </row>
    <row r="471" spans="1:7" s="160" customFormat="1" x14ac:dyDescent="0.35">
      <c r="A471" s="398"/>
      <c r="B471" s="399"/>
      <c r="C471" s="400"/>
      <c r="D471" s="409"/>
      <c r="E471" s="401"/>
      <c r="F471" s="411"/>
      <c r="G471" s="402">
        <f t="shared" si="40"/>
        <v>0</v>
      </c>
    </row>
    <row r="472" spans="1:7" s="160" customFormat="1" x14ac:dyDescent="0.35">
      <c r="A472" s="398"/>
      <c r="B472" s="399"/>
      <c r="C472" s="400"/>
      <c r="D472" s="409"/>
      <c r="E472" s="401"/>
      <c r="F472" s="411"/>
      <c r="G472" s="402">
        <f t="shared" si="40"/>
        <v>0</v>
      </c>
    </row>
    <row r="473" spans="1:7" s="160" customFormat="1" x14ac:dyDescent="0.35">
      <c r="A473" s="398"/>
      <c r="B473" s="399"/>
      <c r="C473" s="400"/>
      <c r="D473" s="409"/>
      <c r="E473" s="401"/>
      <c r="F473" s="411"/>
      <c r="G473" s="402">
        <f t="shared" si="40"/>
        <v>0</v>
      </c>
    </row>
    <row r="474" spans="1:7" s="160" customFormat="1" x14ac:dyDescent="0.35">
      <c r="A474" s="398"/>
      <c r="B474" s="399"/>
      <c r="C474" s="400"/>
      <c r="D474" s="409"/>
      <c r="E474" s="401"/>
      <c r="F474" s="411"/>
      <c r="G474" s="402">
        <f t="shared" si="40"/>
        <v>0</v>
      </c>
    </row>
    <row r="475" spans="1:7" s="160" customFormat="1" x14ac:dyDescent="0.35">
      <c r="A475" s="398"/>
      <c r="B475" s="399"/>
      <c r="C475" s="400"/>
      <c r="D475" s="409"/>
      <c r="E475" s="401"/>
      <c r="F475" s="411"/>
      <c r="G475" s="402">
        <f t="shared" si="40"/>
        <v>0</v>
      </c>
    </row>
    <row r="476" spans="1:7" s="160" customFormat="1" x14ac:dyDescent="0.35">
      <c r="A476" s="398"/>
      <c r="B476" s="399"/>
      <c r="C476" s="400"/>
      <c r="D476" s="409"/>
      <c r="E476" s="401"/>
      <c r="F476" s="411"/>
      <c r="G476" s="402">
        <f t="shared" ref="G476:G504" si="41">ROUND(D476*F476,2)</f>
        <v>0</v>
      </c>
    </row>
    <row r="477" spans="1:7" s="160" customFormat="1" x14ac:dyDescent="0.35">
      <c r="A477" s="398"/>
      <c r="B477" s="399"/>
      <c r="C477" s="400"/>
      <c r="D477" s="409"/>
      <c r="E477" s="401"/>
      <c r="F477" s="411"/>
      <c r="G477" s="402">
        <f t="shared" si="41"/>
        <v>0</v>
      </c>
    </row>
    <row r="478" spans="1:7" s="160" customFormat="1" x14ac:dyDescent="0.35">
      <c r="A478" s="398"/>
      <c r="B478" s="399"/>
      <c r="C478" s="400"/>
      <c r="D478" s="409"/>
      <c r="E478" s="401"/>
      <c r="F478" s="411"/>
      <c r="G478" s="402">
        <f t="shared" si="41"/>
        <v>0</v>
      </c>
    </row>
    <row r="479" spans="1:7" s="160" customFormat="1" x14ac:dyDescent="0.35">
      <c r="A479" s="398"/>
      <c r="B479" s="399"/>
      <c r="C479" s="400"/>
      <c r="D479" s="409"/>
      <c r="E479" s="401"/>
      <c r="F479" s="411"/>
      <c r="G479" s="402">
        <f t="shared" si="41"/>
        <v>0</v>
      </c>
    </row>
    <row r="480" spans="1:7" s="160" customFormat="1" x14ac:dyDescent="0.35">
      <c r="A480" s="398"/>
      <c r="B480" s="399"/>
      <c r="C480" s="400"/>
      <c r="D480" s="409"/>
      <c r="E480" s="401"/>
      <c r="F480" s="411"/>
      <c r="G480" s="402">
        <f t="shared" si="41"/>
        <v>0</v>
      </c>
    </row>
    <row r="481" spans="1:7" s="160" customFormat="1" x14ac:dyDescent="0.35">
      <c r="A481" s="398"/>
      <c r="B481" s="399"/>
      <c r="C481" s="400"/>
      <c r="D481" s="409"/>
      <c r="E481" s="401"/>
      <c r="F481" s="411"/>
      <c r="G481" s="402">
        <f t="shared" si="41"/>
        <v>0</v>
      </c>
    </row>
    <row r="482" spans="1:7" s="160" customFormat="1" x14ac:dyDescent="0.35">
      <c r="A482" s="398"/>
      <c r="B482" s="399"/>
      <c r="C482" s="400"/>
      <c r="D482" s="409"/>
      <c r="E482" s="401"/>
      <c r="F482" s="411"/>
      <c r="G482" s="402">
        <f t="shared" si="41"/>
        <v>0</v>
      </c>
    </row>
    <row r="483" spans="1:7" s="160" customFormat="1" x14ac:dyDescent="0.35">
      <c r="A483" s="398"/>
      <c r="B483" s="399"/>
      <c r="C483" s="400"/>
      <c r="D483" s="409"/>
      <c r="E483" s="401"/>
      <c r="F483" s="411"/>
      <c r="G483" s="402">
        <f t="shared" si="41"/>
        <v>0</v>
      </c>
    </row>
    <row r="484" spans="1:7" s="160" customFormat="1" x14ac:dyDescent="0.35">
      <c r="A484" s="398"/>
      <c r="B484" s="399"/>
      <c r="C484" s="400"/>
      <c r="D484" s="409"/>
      <c r="E484" s="401"/>
      <c r="F484" s="411"/>
      <c r="G484" s="402">
        <f t="shared" si="41"/>
        <v>0</v>
      </c>
    </row>
    <row r="485" spans="1:7" s="160" customFormat="1" x14ac:dyDescent="0.35">
      <c r="A485" s="398"/>
      <c r="B485" s="399"/>
      <c r="C485" s="400"/>
      <c r="D485" s="409"/>
      <c r="E485" s="401"/>
      <c r="F485" s="411"/>
      <c r="G485" s="402">
        <f t="shared" si="41"/>
        <v>0</v>
      </c>
    </row>
    <row r="486" spans="1:7" s="160" customFormat="1" x14ac:dyDescent="0.35">
      <c r="A486" s="398"/>
      <c r="B486" s="399"/>
      <c r="C486" s="400"/>
      <c r="D486" s="409"/>
      <c r="E486" s="401"/>
      <c r="F486" s="411"/>
      <c r="G486" s="402">
        <f t="shared" si="41"/>
        <v>0</v>
      </c>
    </row>
    <row r="487" spans="1:7" s="160" customFormat="1" x14ac:dyDescent="0.35">
      <c r="A487" s="398"/>
      <c r="B487" s="399"/>
      <c r="C487" s="400"/>
      <c r="D487" s="409"/>
      <c r="E487" s="401"/>
      <c r="F487" s="411"/>
      <c r="G487" s="402">
        <f t="shared" si="41"/>
        <v>0</v>
      </c>
    </row>
    <row r="488" spans="1:7" s="160" customFormat="1" x14ac:dyDescent="0.35">
      <c r="A488" s="398"/>
      <c r="B488" s="399"/>
      <c r="C488" s="400"/>
      <c r="D488" s="409"/>
      <c r="E488" s="401"/>
      <c r="F488" s="411"/>
      <c r="G488" s="402">
        <f t="shared" si="41"/>
        <v>0</v>
      </c>
    </row>
    <row r="489" spans="1:7" s="160" customFormat="1" x14ac:dyDescent="0.35">
      <c r="A489" s="398"/>
      <c r="B489" s="399"/>
      <c r="C489" s="400"/>
      <c r="D489" s="409"/>
      <c r="E489" s="401"/>
      <c r="F489" s="411"/>
      <c r="G489" s="402">
        <f t="shared" si="41"/>
        <v>0</v>
      </c>
    </row>
    <row r="490" spans="1:7" s="160" customFormat="1" ht="24" thickBot="1" x14ac:dyDescent="0.4">
      <c r="A490" s="398"/>
      <c r="B490" s="399"/>
      <c r="C490" s="400"/>
      <c r="D490" s="409"/>
      <c r="E490" s="401"/>
      <c r="F490" s="411"/>
      <c r="G490" s="402">
        <f t="shared" si="41"/>
        <v>0</v>
      </c>
    </row>
    <row r="491" spans="1:7" s="160" customFormat="1" ht="24" thickBot="1" x14ac:dyDescent="0.4">
      <c r="A491" s="398"/>
      <c r="B491" s="399"/>
      <c r="C491" s="404" t="s">
        <v>760</v>
      </c>
      <c r="D491" s="409"/>
      <c r="E491" s="401"/>
      <c r="F491" s="411"/>
      <c r="G491" s="405">
        <f>SUM(G468:G490)</f>
        <v>0</v>
      </c>
    </row>
    <row r="492" spans="1:7" s="160" customFormat="1" x14ac:dyDescent="0.35">
      <c r="A492" s="398"/>
      <c r="B492" s="399"/>
      <c r="C492" s="400"/>
      <c r="D492" s="409"/>
      <c r="E492" s="401"/>
      <c r="F492" s="411"/>
      <c r="G492" s="402">
        <f t="shared" si="41"/>
        <v>0</v>
      </c>
    </row>
    <row r="493" spans="1:7" s="160" customFormat="1" x14ac:dyDescent="0.35">
      <c r="A493" s="398"/>
      <c r="B493" s="399"/>
      <c r="C493" s="400"/>
      <c r="D493" s="409"/>
      <c r="E493" s="401"/>
      <c r="F493" s="411"/>
      <c r="G493" s="402">
        <f t="shared" si="41"/>
        <v>0</v>
      </c>
    </row>
    <row r="494" spans="1:7" s="160" customFormat="1" x14ac:dyDescent="0.35">
      <c r="A494" s="398"/>
      <c r="B494" s="399"/>
      <c r="C494" s="400"/>
      <c r="D494" s="409"/>
      <c r="E494" s="401"/>
      <c r="F494" s="411"/>
      <c r="G494" s="402">
        <f t="shared" si="41"/>
        <v>0</v>
      </c>
    </row>
    <row r="495" spans="1:7" s="160" customFormat="1" x14ac:dyDescent="0.35">
      <c r="A495" s="398"/>
      <c r="B495" s="399"/>
      <c r="C495" s="400"/>
      <c r="D495" s="409"/>
      <c r="E495" s="401"/>
      <c r="F495" s="411"/>
      <c r="G495" s="402"/>
    </row>
    <row r="496" spans="1:7" s="160" customFormat="1" x14ac:dyDescent="0.35">
      <c r="A496" s="398"/>
      <c r="B496" s="399"/>
      <c r="C496" s="400"/>
      <c r="D496" s="409"/>
      <c r="E496" s="401"/>
      <c r="F496" s="411"/>
      <c r="G496" s="402"/>
    </row>
    <row r="497" spans="1:7" s="160" customFormat="1" x14ac:dyDescent="0.35">
      <c r="A497" s="398"/>
      <c r="B497" s="399"/>
      <c r="C497" s="400"/>
      <c r="D497" s="409"/>
      <c r="E497" s="401"/>
      <c r="F497" s="411"/>
      <c r="G497" s="402"/>
    </row>
    <row r="498" spans="1:7" s="160" customFormat="1" x14ac:dyDescent="0.35">
      <c r="A498" s="398"/>
      <c r="B498" s="399"/>
      <c r="C498" s="400"/>
      <c r="D498" s="409"/>
      <c r="E498" s="401"/>
      <c r="F498" s="411"/>
      <c r="G498" s="402">
        <f t="shared" si="41"/>
        <v>0</v>
      </c>
    </row>
    <row r="499" spans="1:7" s="160" customFormat="1" x14ac:dyDescent="0.35">
      <c r="A499" s="398"/>
      <c r="B499" s="399"/>
      <c r="C499" s="400"/>
      <c r="D499" s="409"/>
      <c r="E499" s="401"/>
      <c r="F499" s="411"/>
      <c r="G499" s="402">
        <f t="shared" si="41"/>
        <v>0</v>
      </c>
    </row>
    <row r="500" spans="1:7" s="160" customFormat="1" x14ac:dyDescent="0.35">
      <c r="A500" s="398"/>
      <c r="B500" s="399"/>
      <c r="C500" s="400"/>
      <c r="D500" s="409"/>
      <c r="E500" s="401"/>
      <c r="F500" s="411"/>
      <c r="G500" s="402">
        <f t="shared" si="41"/>
        <v>0</v>
      </c>
    </row>
    <row r="501" spans="1:7" s="160" customFormat="1" x14ac:dyDescent="0.35">
      <c r="A501" s="398"/>
      <c r="B501" s="399"/>
      <c r="C501" s="400"/>
      <c r="D501" s="409"/>
      <c r="E501" s="401"/>
      <c r="F501" s="411"/>
      <c r="G501" s="402">
        <f t="shared" si="41"/>
        <v>0</v>
      </c>
    </row>
    <row r="502" spans="1:7" s="160" customFormat="1" x14ac:dyDescent="0.35">
      <c r="A502" s="398"/>
      <c r="B502" s="399"/>
      <c r="C502" s="400"/>
      <c r="D502" s="409"/>
      <c r="E502" s="401"/>
      <c r="F502" s="411"/>
      <c r="G502" s="402">
        <f t="shared" si="41"/>
        <v>0</v>
      </c>
    </row>
    <row r="503" spans="1:7" s="160" customFormat="1" x14ac:dyDescent="0.35">
      <c r="A503" s="398"/>
      <c r="B503" s="399"/>
      <c r="C503" s="400"/>
      <c r="D503" s="409"/>
      <c r="E503" s="401"/>
      <c r="F503" s="411"/>
      <c r="G503" s="402">
        <f t="shared" si="41"/>
        <v>0</v>
      </c>
    </row>
    <row r="504" spans="1:7" s="160" customFormat="1" ht="24" thickBot="1" x14ac:dyDescent="0.4">
      <c r="A504" s="398"/>
      <c r="B504" s="399"/>
      <c r="C504" s="400"/>
      <c r="D504" s="409"/>
      <c r="E504" s="401"/>
      <c r="F504" s="411"/>
      <c r="G504" s="402">
        <f t="shared" si="41"/>
        <v>0</v>
      </c>
    </row>
    <row r="505" spans="1:7" ht="18.75" customHeight="1" x14ac:dyDescent="0.35">
      <c r="A505" s="383"/>
      <c r="B505" s="384"/>
      <c r="C505" s="385"/>
      <c r="D505" s="386"/>
      <c r="E505" s="387"/>
      <c r="F505" s="410"/>
      <c r="G505" s="387"/>
    </row>
    <row r="506" spans="1:7" s="160" customFormat="1" x14ac:dyDescent="0.35">
      <c r="A506" s="388"/>
      <c r="B506" s="389"/>
      <c r="C506" s="390"/>
      <c r="D506" s="391"/>
      <c r="E506" s="391"/>
      <c r="F506" s="393" t="s">
        <v>2</v>
      </c>
      <c r="G506" s="393"/>
    </row>
    <row r="507" spans="1:7" s="160" customFormat="1" ht="24" thickBot="1" x14ac:dyDescent="0.4">
      <c r="A507" s="394"/>
      <c r="B507" s="395"/>
      <c r="C507" s="396" t="s">
        <v>753</v>
      </c>
      <c r="D507" s="397" t="s">
        <v>3</v>
      </c>
      <c r="E507" s="397" t="s">
        <v>1</v>
      </c>
      <c r="F507" s="397" t="s">
        <v>4</v>
      </c>
      <c r="G507" s="397" t="s">
        <v>5</v>
      </c>
    </row>
    <row r="508" spans="1:7" s="160" customFormat="1" ht="18" customHeight="1" x14ac:dyDescent="0.35">
      <c r="A508" s="398"/>
      <c r="B508" s="399"/>
      <c r="C508" s="400"/>
      <c r="D508" s="409"/>
      <c r="E508" s="401"/>
      <c r="F508" s="411"/>
      <c r="G508" s="402">
        <f t="shared" ref="G508:G509" si="42">ROUND(D508*F508,2)</f>
        <v>0</v>
      </c>
    </row>
    <row r="509" spans="1:7" s="160" customFormat="1" x14ac:dyDescent="0.35">
      <c r="A509" s="398"/>
      <c r="B509" s="399"/>
      <c r="C509" s="412" t="s">
        <v>843</v>
      </c>
      <c r="D509" s="409"/>
      <c r="E509" s="401"/>
      <c r="F509" s="411"/>
      <c r="G509" s="402">
        <f t="shared" si="42"/>
        <v>0</v>
      </c>
    </row>
    <row r="510" spans="1:7" s="160" customFormat="1" x14ac:dyDescent="0.35">
      <c r="A510" s="398"/>
      <c r="B510" s="399"/>
      <c r="C510" s="400"/>
      <c r="D510" s="409"/>
      <c r="E510" s="401"/>
      <c r="F510" s="411"/>
      <c r="G510" s="402">
        <f t="shared" ref="G510:G529" si="43">D510*F510</f>
        <v>0</v>
      </c>
    </row>
    <row r="511" spans="1:7" s="160" customFormat="1" ht="93" x14ac:dyDescent="0.35">
      <c r="A511" s="398"/>
      <c r="B511" s="399"/>
      <c r="C511" s="400" t="s">
        <v>850</v>
      </c>
      <c r="D511" s="409">
        <v>72</v>
      </c>
      <c r="E511" s="401" t="s">
        <v>468</v>
      </c>
      <c r="F511" s="411"/>
      <c r="G511" s="402">
        <f t="shared" si="43"/>
        <v>0</v>
      </c>
    </row>
    <row r="512" spans="1:7" s="160" customFormat="1" x14ac:dyDescent="0.35">
      <c r="A512" s="398"/>
      <c r="B512" s="399"/>
      <c r="C512" s="400"/>
      <c r="D512" s="409"/>
      <c r="E512" s="401"/>
      <c r="F512" s="411"/>
      <c r="G512" s="402">
        <f t="shared" si="43"/>
        <v>0</v>
      </c>
    </row>
    <row r="513" spans="1:7" s="160" customFormat="1" ht="93" x14ac:dyDescent="0.35">
      <c r="A513" s="398"/>
      <c r="B513" s="399"/>
      <c r="C513" s="400" t="s">
        <v>852</v>
      </c>
      <c r="D513" s="409">
        <v>62</v>
      </c>
      <c r="E513" s="401" t="s">
        <v>468</v>
      </c>
      <c r="F513" s="411"/>
      <c r="G513" s="402">
        <f t="shared" si="43"/>
        <v>0</v>
      </c>
    </row>
    <row r="514" spans="1:7" s="160" customFormat="1" x14ac:dyDescent="0.35">
      <c r="A514" s="398"/>
      <c r="B514" s="399"/>
      <c r="C514" s="400"/>
      <c r="D514" s="409"/>
      <c r="E514" s="401"/>
      <c r="F514" s="411"/>
      <c r="G514" s="402">
        <f t="shared" si="43"/>
        <v>0</v>
      </c>
    </row>
    <row r="515" spans="1:7" s="160" customFormat="1" ht="93" x14ac:dyDescent="0.35">
      <c r="A515" s="398"/>
      <c r="B515" s="399"/>
      <c r="C515" s="400" t="s">
        <v>851</v>
      </c>
      <c r="D515" s="409">
        <v>74</v>
      </c>
      <c r="E515" s="401" t="s">
        <v>468</v>
      </c>
      <c r="F515" s="411"/>
      <c r="G515" s="402">
        <f t="shared" si="43"/>
        <v>0</v>
      </c>
    </row>
    <row r="516" spans="1:7" s="160" customFormat="1" x14ac:dyDescent="0.35">
      <c r="A516" s="398"/>
      <c r="B516" s="399"/>
      <c r="C516" s="400"/>
      <c r="D516" s="409"/>
      <c r="E516" s="401"/>
      <c r="F516" s="411"/>
      <c r="G516" s="402">
        <f t="shared" si="43"/>
        <v>0</v>
      </c>
    </row>
    <row r="517" spans="1:7" s="160" customFormat="1" ht="46.5" x14ac:dyDescent="0.35">
      <c r="A517" s="398"/>
      <c r="B517" s="399"/>
      <c r="C517" s="400" t="s">
        <v>849</v>
      </c>
      <c r="D517" s="409">
        <v>6</v>
      </c>
      <c r="E517" s="401" t="s">
        <v>810</v>
      </c>
      <c r="F517" s="411"/>
      <c r="G517" s="402">
        <f t="shared" si="43"/>
        <v>0</v>
      </c>
    </row>
    <row r="518" spans="1:7" s="160" customFormat="1" x14ac:dyDescent="0.35">
      <c r="A518" s="398"/>
      <c r="B518" s="399"/>
      <c r="C518" s="400"/>
      <c r="D518" s="409"/>
      <c r="E518" s="401"/>
      <c r="F518" s="411"/>
      <c r="G518" s="402">
        <f t="shared" si="43"/>
        <v>0</v>
      </c>
    </row>
    <row r="519" spans="1:7" s="160" customFormat="1" ht="69.75" x14ac:dyDescent="0.35">
      <c r="A519" s="398"/>
      <c r="B519" s="399"/>
      <c r="C519" s="400" t="s">
        <v>853</v>
      </c>
      <c r="D519" s="409">
        <v>1240</v>
      </c>
      <c r="E519" s="401" t="s">
        <v>772</v>
      </c>
      <c r="F519" s="411"/>
      <c r="G519" s="402">
        <f t="shared" si="43"/>
        <v>0</v>
      </c>
    </row>
    <row r="520" spans="1:7" s="160" customFormat="1" x14ac:dyDescent="0.35">
      <c r="A520" s="398"/>
      <c r="B520" s="399"/>
      <c r="C520" s="400"/>
      <c r="D520" s="409"/>
      <c r="E520" s="401"/>
      <c r="F520" s="411"/>
      <c r="G520" s="402">
        <f t="shared" si="43"/>
        <v>0</v>
      </c>
    </row>
    <row r="521" spans="1:7" s="160" customFormat="1" ht="69.75" x14ac:dyDescent="0.35">
      <c r="A521" s="398"/>
      <c r="B521" s="399"/>
      <c r="C521" s="400" t="s">
        <v>854</v>
      </c>
      <c r="D521" s="409">
        <v>282</v>
      </c>
      <c r="E521" s="401" t="s">
        <v>772</v>
      </c>
      <c r="F521" s="411"/>
      <c r="G521" s="402">
        <f t="shared" si="43"/>
        <v>0</v>
      </c>
    </row>
    <row r="522" spans="1:7" s="160" customFormat="1" x14ac:dyDescent="0.35">
      <c r="A522" s="398"/>
      <c r="B522" s="399"/>
      <c r="C522" s="400"/>
      <c r="D522" s="409"/>
      <c r="E522" s="401"/>
      <c r="F522" s="411"/>
      <c r="G522" s="402">
        <f t="shared" si="43"/>
        <v>0</v>
      </c>
    </row>
    <row r="523" spans="1:7" s="160" customFormat="1" ht="69.75" x14ac:dyDescent="0.35">
      <c r="A523" s="398"/>
      <c r="B523" s="399"/>
      <c r="C523" s="400" t="s">
        <v>855</v>
      </c>
      <c r="D523" s="409">
        <v>54</v>
      </c>
      <c r="E523" s="401" t="s">
        <v>772</v>
      </c>
      <c r="F523" s="411"/>
      <c r="G523" s="402">
        <f t="shared" si="43"/>
        <v>0</v>
      </c>
    </row>
    <row r="524" spans="1:7" s="160" customFormat="1" x14ac:dyDescent="0.35">
      <c r="A524" s="398"/>
      <c r="B524" s="399"/>
      <c r="C524" s="400"/>
      <c r="D524" s="409"/>
      <c r="E524" s="401"/>
      <c r="F524" s="411"/>
      <c r="G524" s="402">
        <f t="shared" si="43"/>
        <v>0</v>
      </c>
    </row>
    <row r="525" spans="1:7" s="160" customFormat="1" ht="69.75" x14ac:dyDescent="0.35">
      <c r="A525" s="398"/>
      <c r="B525" s="399"/>
      <c r="C525" s="400" t="s">
        <v>856</v>
      </c>
      <c r="D525" s="409">
        <v>260</v>
      </c>
      <c r="E525" s="401" t="s">
        <v>772</v>
      </c>
      <c r="F525" s="411"/>
      <c r="G525" s="402">
        <f>D525*F525</f>
        <v>0</v>
      </c>
    </row>
    <row r="526" spans="1:7" s="160" customFormat="1" x14ac:dyDescent="0.35">
      <c r="A526" s="398"/>
      <c r="B526" s="399"/>
      <c r="C526" s="400"/>
      <c r="D526" s="409"/>
      <c r="E526" s="401"/>
      <c r="F526" s="411"/>
      <c r="G526" s="402">
        <f t="shared" si="43"/>
        <v>0</v>
      </c>
    </row>
    <row r="527" spans="1:7" s="160" customFormat="1" ht="93" x14ac:dyDescent="0.35">
      <c r="A527" s="398"/>
      <c r="B527" s="399"/>
      <c r="C527" s="400" t="s">
        <v>857</v>
      </c>
      <c r="D527" s="409">
        <v>164</v>
      </c>
      <c r="E527" s="401" t="s">
        <v>26</v>
      </c>
      <c r="F527" s="411"/>
      <c r="G527" s="402">
        <f t="shared" si="43"/>
        <v>0</v>
      </c>
    </row>
    <row r="528" spans="1:7" s="160" customFormat="1" x14ac:dyDescent="0.35">
      <c r="A528" s="398"/>
      <c r="B528" s="399"/>
      <c r="C528" s="400"/>
      <c r="D528" s="409"/>
      <c r="E528" s="401"/>
      <c r="F528" s="411"/>
      <c r="G528" s="402">
        <f t="shared" si="43"/>
        <v>0</v>
      </c>
    </row>
    <row r="529" spans="1:7" s="160" customFormat="1" ht="93" x14ac:dyDescent="0.35">
      <c r="A529" s="398"/>
      <c r="B529" s="399"/>
      <c r="C529" s="400" t="s">
        <v>860</v>
      </c>
      <c r="D529" s="409">
        <v>76</v>
      </c>
      <c r="E529" s="401" t="s">
        <v>772</v>
      </c>
      <c r="F529" s="411"/>
      <c r="G529" s="402">
        <f t="shared" si="43"/>
        <v>0</v>
      </c>
    </row>
    <row r="530" spans="1:7" s="160" customFormat="1" x14ac:dyDescent="0.35">
      <c r="A530" s="398"/>
      <c r="B530" s="399"/>
      <c r="C530" s="400"/>
      <c r="D530" s="409"/>
      <c r="E530" s="401"/>
      <c r="F530" s="411"/>
      <c r="G530" s="402">
        <f t="shared" ref="G530:G531" si="44">ROUND(D530*F530,2)</f>
        <v>0</v>
      </c>
    </row>
    <row r="531" spans="1:7" s="160" customFormat="1" ht="24" thickBot="1" x14ac:dyDescent="0.4">
      <c r="A531" s="398"/>
      <c r="B531" s="399"/>
      <c r="C531" s="400"/>
      <c r="D531" s="409"/>
      <c r="E531" s="401"/>
      <c r="F531" s="411"/>
      <c r="G531" s="402">
        <f t="shared" si="44"/>
        <v>0</v>
      </c>
    </row>
    <row r="532" spans="1:7" s="160" customFormat="1" ht="24" thickBot="1" x14ac:dyDescent="0.4">
      <c r="A532" s="398"/>
      <c r="B532" s="399"/>
      <c r="C532" s="404" t="s">
        <v>760</v>
      </c>
      <c r="D532" s="409"/>
      <c r="E532" s="401"/>
      <c r="F532" s="411"/>
      <c r="G532" s="405">
        <f>SUM(G510:G531)</f>
        <v>0</v>
      </c>
    </row>
    <row r="533" spans="1:7" ht="18.75" customHeight="1" x14ac:dyDescent="0.35">
      <c r="A533" s="383"/>
      <c r="B533" s="384"/>
      <c r="C533" s="385"/>
      <c r="D533" s="386"/>
      <c r="E533" s="387"/>
      <c r="F533" s="410"/>
      <c r="G533" s="387"/>
    </row>
    <row r="534" spans="1:7" s="160" customFormat="1" x14ac:dyDescent="0.35">
      <c r="A534" s="388"/>
      <c r="B534" s="389"/>
      <c r="C534" s="390"/>
      <c r="D534" s="391"/>
      <c r="E534" s="391"/>
      <c r="F534" s="393" t="s">
        <v>2</v>
      </c>
      <c r="G534" s="393"/>
    </row>
    <row r="535" spans="1:7" s="160" customFormat="1" ht="24" thickBot="1" x14ac:dyDescent="0.4">
      <c r="A535" s="394"/>
      <c r="B535" s="395"/>
      <c r="C535" s="396" t="s">
        <v>753</v>
      </c>
      <c r="D535" s="397" t="s">
        <v>3</v>
      </c>
      <c r="E535" s="397" t="s">
        <v>1</v>
      </c>
      <c r="F535" s="397" t="s">
        <v>4</v>
      </c>
      <c r="G535" s="397" t="s">
        <v>5</v>
      </c>
    </row>
    <row r="536" spans="1:7" s="160" customFormat="1" ht="18" customHeight="1" x14ac:dyDescent="0.35">
      <c r="A536" s="398"/>
      <c r="B536" s="399"/>
      <c r="C536" s="400"/>
      <c r="D536" s="409"/>
      <c r="E536" s="401"/>
      <c r="F536" s="411"/>
      <c r="G536" s="402">
        <f t="shared" ref="G536:G578" si="45">ROUND(D536*F536,2)</f>
        <v>0</v>
      </c>
    </row>
    <row r="537" spans="1:7" s="160" customFormat="1" ht="46.5" x14ac:dyDescent="0.35">
      <c r="A537" s="398"/>
      <c r="B537" s="399"/>
      <c r="C537" s="412" t="s">
        <v>858</v>
      </c>
      <c r="D537" s="409"/>
      <c r="E537" s="401"/>
      <c r="F537" s="411"/>
      <c r="G537" s="402">
        <f t="shared" si="45"/>
        <v>0</v>
      </c>
    </row>
    <row r="538" spans="1:7" s="160" customFormat="1" x14ac:dyDescent="0.35">
      <c r="A538" s="398"/>
      <c r="B538" s="399"/>
      <c r="C538" s="400"/>
      <c r="D538" s="409"/>
      <c r="E538" s="401"/>
      <c r="F538" s="411"/>
      <c r="G538" s="402">
        <f t="shared" ref="G538:G563" si="46">D538*F538</f>
        <v>0</v>
      </c>
    </row>
    <row r="539" spans="1:7" s="160" customFormat="1" ht="139.5" x14ac:dyDescent="0.35">
      <c r="A539" s="398"/>
      <c r="B539" s="399"/>
      <c r="C539" s="400" t="s">
        <v>859</v>
      </c>
      <c r="D539" s="409">
        <v>278</v>
      </c>
      <c r="E539" s="401" t="s">
        <v>468</v>
      </c>
      <c r="F539" s="411"/>
      <c r="G539" s="402">
        <f t="shared" si="46"/>
        <v>0</v>
      </c>
    </row>
    <row r="540" spans="1:7" s="160" customFormat="1" x14ac:dyDescent="0.35">
      <c r="A540" s="398"/>
      <c r="B540" s="399"/>
      <c r="C540" s="400"/>
      <c r="D540" s="409"/>
      <c r="E540" s="401"/>
      <c r="F540" s="411"/>
      <c r="G540" s="402">
        <f t="shared" si="46"/>
        <v>0</v>
      </c>
    </row>
    <row r="541" spans="1:7" s="160" customFormat="1" ht="46.5" x14ac:dyDescent="0.35">
      <c r="A541" s="398"/>
      <c r="B541" s="399"/>
      <c r="C541" s="400" t="s">
        <v>861</v>
      </c>
      <c r="D541" s="409">
        <v>12</v>
      </c>
      <c r="E541" s="401" t="s">
        <v>761</v>
      </c>
      <c r="F541" s="411"/>
      <c r="G541" s="402">
        <f t="shared" si="46"/>
        <v>0</v>
      </c>
    </row>
    <row r="542" spans="1:7" s="160" customFormat="1" x14ac:dyDescent="0.35">
      <c r="A542" s="398"/>
      <c r="B542" s="399"/>
      <c r="C542" s="400"/>
      <c r="D542" s="409"/>
      <c r="E542" s="401"/>
      <c r="F542" s="411"/>
      <c r="G542" s="402">
        <f t="shared" si="46"/>
        <v>0</v>
      </c>
    </row>
    <row r="543" spans="1:7" s="160" customFormat="1" ht="69.75" x14ac:dyDescent="0.35">
      <c r="A543" s="398"/>
      <c r="B543" s="399"/>
      <c r="C543" s="400" t="s">
        <v>862</v>
      </c>
      <c r="D543" s="409">
        <v>184</v>
      </c>
      <c r="E543" s="401" t="s">
        <v>772</v>
      </c>
      <c r="F543" s="411"/>
      <c r="G543" s="402">
        <f t="shared" si="46"/>
        <v>0</v>
      </c>
    </row>
    <row r="544" spans="1:7" s="160" customFormat="1" x14ac:dyDescent="0.35">
      <c r="A544" s="398"/>
      <c r="B544" s="399"/>
      <c r="C544" s="400"/>
      <c r="D544" s="409"/>
      <c r="E544" s="401"/>
      <c r="F544" s="411"/>
      <c r="G544" s="402">
        <f t="shared" si="46"/>
        <v>0</v>
      </c>
    </row>
    <row r="545" spans="1:7" s="160" customFormat="1" ht="116.25" x14ac:dyDescent="0.35">
      <c r="A545" s="398"/>
      <c r="B545" s="399"/>
      <c r="C545" s="400" t="s">
        <v>903</v>
      </c>
      <c r="D545" s="409">
        <v>600</v>
      </c>
      <c r="E545" s="401" t="s">
        <v>772</v>
      </c>
      <c r="F545" s="411"/>
      <c r="G545" s="402">
        <f t="shared" si="46"/>
        <v>0</v>
      </c>
    </row>
    <row r="546" spans="1:7" s="160" customFormat="1" x14ac:dyDescent="0.35">
      <c r="A546" s="398"/>
      <c r="B546" s="399"/>
      <c r="C546" s="400"/>
      <c r="D546" s="409"/>
      <c r="E546" s="401"/>
      <c r="F546" s="411"/>
      <c r="G546" s="402">
        <f t="shared" si="46"/>
        <v>0</v>
      </c>
    </row>
    <row r="547" spans="1:7" s="160" customFormat="1" x14ac:dyDescent="0.35">
      <c r="A547" s="398"/>
      <c r="B547" s="399"/>
      <c r="C547" s="400"/>
      <c r="D547" s="409"/>
      <c r="E547" s="401"/>
      <c r="F547" s="411"/>
      <c r="G547" s="402">
        <f t="shared" si="46"/>
        <v>0</v>
      </c>
    </row>
    <row r="548" spans="1:7" s="160" customFormat="1" x14ac:dyDescent="0.35">
      <c r="A548" s="398"/>
      <c r="B548" s="399"/>
      <c r="C548" s="400" t="s">
        <v>830</v>
      </c>
      <c r="D548" s="409">
        <v>1</v>
      </c>
      <c r="E548" s="401" t="s">
        <v>819</v>
      </c>
      <c r="F548" s="411"/>
      <c r="G548" s="402">
        <f t="shared" si="46"/>
        <v>0</v>
      </c>
    </row>
    <row r="549" spans="1:7" s="160" customFormat="1" x14ac:dyDescent="0.35">
      <c r="A549" s="398"/>
      <c r="B549" s="399"/>
      <c r="C549" s="400"/>
      <c r="D549" s="409"/>
      <c r="E549" s="401"/>
      <c r="F549" s="411"/>
      <c r="G549" s="402">
        <f t="shared" si="46"/>
        <v>0</v>
      </c>
    </row>
    <row r="550" spans="1:7" s="160" customFormat="1" x14ac:dyDescent="0.35">
      <c r="A550" s="398"/>
      <c r="B550" s="399"/>
      <c r="C550" s="400"/>
      <c r="D550" s="409"/>
      <c r="E550" s="401"/>
      <c r="F550" s="411"/>
      <c r="G550" s="402">
        <f t="shared" si="46"/>
        <v>0</v>
      </c>
    </row>
    <row r="551" spans="1:7" s="160" customFormat="1" x14ac:dyDescent="0.35">
      <c r="A551" s="398"/>
      <c r="B551" s="399"/>
      <c r="C551" s="400"/>
      <c r="D551" s="409"/>
      <c r="E551" s="401"/>
      <c r="F551" s="411"/>
      <c r="G551" s="402">
        <f t="shared" si="46"/>
        <v>0</v>
      </c>
    </row>
    <row r="552" spans="1:7" s="160" customFormat="1" x14ac:dyDescent="0.35">
      <c r="A552" s="398"/>
      <c r="B552" s="399"/>
      <c r="C552" s="400"/>
      <c r="D552" s="409"/>
      <c r="E552" s="401"/>
      <c r="F552" s="411"/>
      <c r="G552" s="402">
        <f t="shared" si="46"/>
        <v>0</v>
      </c>
    </row>
    <row r="553" spans="1:7" s="160" customFormat="1" x14ac:dyDescent="0.35">
      <c r="A553" s="398"/>
      <c r="B553" s="399"/>
      <c r="C553" s="400"/>
      <c r="D553" s="409"/>
      <c r="E553" s="401"/>
      <c r="F553" s="411"/>
      <c r="G553" s="402">
        <f t="shared" si="46"/>
        <v>0</v>
      </c>
    </row>
    <row r="554" spans="1:7" s="160" customFormat="1" x14ac:dyDescent="0.35">
      <c r="A554" s="398"/>
      <c r="B554" s="399"/>
      <c r="C554" s="400"/>
      <c r="D554" s="409"/>
      <c r="E554" s="401"/>
      <c r="F554" s="411"/>
      <c r="G554" s="402">
        <f t="shared" si="46"/>
        <v>0</v>
      </c>
    </row>
    <row r="555" spans="1:7" s="160" customFormat="1" x14ac:dyDescent="0.35">
      <c r="A555" s="398"/>
      <c r="B555" s="399"/>
      <c r="C555" s="400"/>
      <c r="D555" s="409"/>
      <c r="E555" s="401"/>
      <c r="F555" s="411"/>
      <c r="G555" s="402">
        <f t="shared" si="46"/>
        <v>0</v>
      </c>
    </row>
    <row r="556" spans="1:7" s="160" customFormat="1" x14ac:dyDescent="0.35">
      <c r="A556" s="398"/>
      <c r="B556" s="399"/>
      <c r="C556" s="400"/>
      <c r="D556" s="409"/>
      <c r="E556" s="401"/>
      <c r="F556" s="411"/>
      <c r="G556" s="402">
        <f t="shared" si="46"/>
        <v>0</v>
      </c>
    </row>
    <row r="557" spans="1:7" s="160" customFormat="1" x14ac:dyDescent="0.35">
      <c r="A557" s="398"/>
      <c r="B557" s="399"/>
      <c r="C557" s="400"/>
      <c r="D557" s="409"/>
      <c r="E557" s="401"/>
      <c r="F557" s="411"/>
      <c r="G557" s="402">
        <f t="shared" si="46"/>
        <v>0</v>
      </c>
    </row>
    <row r="558" spans="1:7" s="160" customFormat="1" x14ac:dyDescent="0.35">
      <c r="A558" s="398"/>
      <c r="B558" s="399"/>
      <c r="C558" s="400"/>
      <c r="D558" s="409"/>
      <c r="E558" s="401"/>
      <c r="F558" s="411"/>
      <c r="G558" s="402">
        <f t="shared" si="46"/>
        <v>0</v>
      </c>
    </row>
    <row r="559" spans="1:7" s="160" customFormat="1" x14ac:dyDescent="0.35">
      <c r="A559" s="398"/>
      <c r="B559" s="399"/>
      <c r="C559" s="400"/>
      <c r="D559" s="409"/>
      <c r="E559" s="401"/>
      <c r="F559" s="411"/>
      <c r="G559" s="402">
        <f t="shared" si="46"/>
        <v>0</v>
      </c>
    </row>
    <row r="560" spans="1:7" s="160" customFormat="1" x14ac:dyDescent="0.35">
      <c r="A560" s="398"/>
      <c r="B560" s="399"/>
      <c r="C560" s="400"/>
      <c r="D560" s="409"/>
      <c r="E560" s="401"/>
      <c r="F560" s="411"/>
      <c r="G560" s="402">
        <f t="shared" si="46"/>
        <v>0</v>
      </c>
    </row>
    <row r="561" spans="1:7" s="160" customFormat="1" x14ac:dyDescent="0.35">
      <c r="A561" s="398"/>
      <c r="B561" s="399"/>
      <c r="C561" s="400"/>
      <c r="D561" s="409"/>
      <c r="E561" s="401"/>
      <c r="F561" s="411"/>
      <c r="G561" s="402">
        <f t="shared" si="46"/>
        <v>0</v>
      </c>
    </row>
    <row r="562" spans="1:7" s="160" customFormat="1" x14ac:dyDescent="0.35">
      <c r="A562" s="398"/>
      <c r="B562" s="399"/>
      <c r="C562" s="400"/>
      <c r="D562" s="409"/>
      <c r="E562" s="401"/>
      <c r="F562" s="411"/>
      <c r="G562" s="402">
        <f t="shared" si="46"/>
        <v>0</v>
      </c>
    </row>
    <row r="563" spans="1:7" s="160" customFormat="1" x14ac:dyDescent="0.35">
      <c r="A563" s="398"/>
      <c r="B563" s="399"/>
      <c r="C563" s="400"/>
      <c r="D563" s="409"/>
      <c r="E563" s="401"/>
      <c r="F563" s="411"/>
      <c r="G563" s="402">
        <f t="shared" si="46"/>
        <v>0</v>
      </c>
    </row>
    <row r="564" spans="1:7" s="160" customFormat="1" x14ac:dyDescent="0.35">
      <c r="A564" s="398"/>
      <c r="B564" s="399"/>
      <c r="C564" s="400"/>
      <c r="D564" s="409"/>
      <c r="E564" s="401"/>
      <c r="F564" s="411"/>
      <c r="G564" s="402">
        <f t="shared" si="45"/>
        <v>0</v>
      </c>
    </row>
    <row r="565" spans="1:7" s="160" customFormat="1" ht="24" thickBot="1" x14ac:dyDescent="0.4">
      <c r="A565" s="398"/>
      <c r="B565" s="399"/>
      <c r="C565" s="400"/>
      <c r="D565" s="409"/>
      <c r="E565" s="401"/>
      <c r="F565" s="411"/>
      <c r="G565" s="402">
        <f t="shared" si="45"/>
        <v>0</v>
      </c>
    </row>
    <row r="566" spans="1:7" s="160" customFormat="1" ht="24" thickBot="1" x14ac:dyDescent="0.4">
      <c r="A566" s="398"/>
      <c r="B566" s="399"/>
      <c r="C566" s="404" t="s">
        <v>760</v>
      </c>
      <c r="D566" s="409"/>
      <c r="E566" s="401"/>
      <c r="F566" s="411"/>
      <c r="G566" s="405">
        <f>SUM(G538:G565)</f>
        <v>0</v>
      </c>
    </row>
    <row r="567" spans="1:7" s="160" customFormat="1" x14ac:dyDescent="0.35">
      <c r="A567" s="398"/>
      <c r="B567" s="399"/>
      <c r="C567" s="400"/>
      <c r="D567" s="409"/>
      <c r="E567" s="401"/>
      <c r="F567" s="411"/>
      <c r="G567" s="402">
        <f t="shared" si="45"/>
        <v>0</v>
      </c>
    </row>
    <row r="568" spans="1:7" s="160" customFormat="1" x14ac:dyDescent="0.35">
      <c r="A568" s="398"/>
      <c r="B568" s="399"/>
      <c r="C568" s="400"/>
      <c r="D568" s="409"/>
      <c r="E568" s="401"/>
      <c r="F568" s="411"/>
      <c r="G568" s="402">
        <f t="shared" si="45"/>
        <v>0</v>
      </c>
    </row>
    <row r="569" spans="1:7" s="160" customFormat="1" x14ac:dyDescent="0.35">
      <c r="A569" s="398"/>
      <c r="B569" s="399"/>
      <c r="C569" s="400"/>
      <c r="D569" s="409"/>
      <c r="E569" s="401"/>
      <c r="F569" s="411"/>
      <c r="G569" s="402">
        <f t="shared" si="45"/>
        <v>0</v>
      </c>
    </row>
    <row r="570" spans="1:7" s="160" customFormat="1" x14ac:dyDescent="0.35">
      <c r="A570" s="398"/>
      <c r="B570" s="399"/>
      <c r="C570" s="400"/>
      <c r="D570" s="409"/>
      <c r="E570" s="401"/>
      <c r="F570" s="411"/>
      <c r="G570" s="402"/>
    </row>
    <row r="571" spans="1:7" s="160" customFormat="1" x14ac:dyDescent="0.35">
      <c r="A571" s="398"/>
      <c r="B571" s="399"/>
      <c r="C571" s="400"/>
      <c r="D571" s="409"/>
      <c r="E571" s="401"/>
      <c r="F571" s="411"/>
      <c r="G571" s="402"/>
    </row>
    <row r="572" spans="1:7" s="160" customFormat="1" ht="24" thickBot="1" x14ac:dyDescent="0.4">
      <c r="A572" s="398"/>
      <c r="B572" s="399"/>
      <c r="C572" s="400"/>
      <c r="D572" s="409"/>
      <c r="E572" s="401"/>
      <c r="F572" s="411"/>
      <c r="G572" s="402">
        <f t="shared" si="45"/>
        <v>0</v>
      </c>
    </row>
    <row r="573" spans="1:7" ht="18.75" customHeight="1" x14ac:dyDescent="0.35">
      <c r="A573" s="383"/>
      <c r="B573" s="384"/>
      <c r="C573" s="385"/>
      <c r="D573" s="386"/>
      <c r="E573" s="387"/>
      <c r="F573" s="410"/>
      <c r="G573" s="387"/>
    </row>
    <row r="574" spans="1:7" s="160" customFormat="1" x14ac:dyDescent="0.35">
      <c r="A574" s="388"/>
      <c r="B574" s="389"/>
      <c r="C574" s="390"/>
      <c r="D574" s="391"/>
      <c r="E574" s="391"/>
      <c r="F574" s="393" t="s">
        <v>2</v>
      </c>
      <c r="G574" s="393"/>
    </row>
    <row r="575" spans="1:7" s="160" customFormat="1" ht="24" thickBot="1" x14ac:dyDescent="0.4">
      <c r="A575" s="394"/>
      <c r="B575" s="395"/>
      <c r="C575" s="396" t="s">
        <v>753</v>
      </c>
      <c r="D575" s="397" t="s">
        <v>3</v>
      </c>
      <c r="E575" s="397" t="s">
        <v>1</v>
      </c>
      <c r="F575" s="397" t="s">
        <v>4</v>
      </c>
      <c r="G575" s="397" t="s">
        <v>5</v>
      </c>
    </row>
    <row r="576" spans="1:7" s="160" customFormat="1" ht="18" customHeight="1" x14ac:dyDescent="0.35">
      <c r="A576" s="398"/>
      <c r="B576" s="399"/>
      <c r="C576" s="400"/>
      <c r="D576" s="409"/>
      <c r="E576" s="401"/>
      <c r="F576" s="411"/>
      <c r="G576" s="402">
        <f t="shared" ref="G576:G577" si="47">ROUND(D576*F576,2)</f>
        <v>0</v>
      </c>
    </row>
    <row r="577" spans="1:7" s="160" customFormat="1" x14ac:dyDescent="0.35">
      <c r="A577" s="398"/>
      <c r="B577" s="399"/>
      <c r="C577" s="412" t="s">
        <v>863</v>
      </c>
      <c r="D577" s="409"/>
      <c r="E577" s="401"/>
      <c r="F577" s="411"/>
      <c r="G577" s="402">
        <f t="shared" si="47"/>
        <v>0</v>
      </c>
    </row>
    <row r="578" spans="1:7" s="160" customFormat="1" x14ac:dyDescent="0.35">
      <c r="A578" s="398"/>
      <c r="B578" s="399"/>
      <c r="C578" s="400"/>
      <c r="D578" s="409"/>
      <c r="E578" s="401"/>
      <c r="F578" s="411"/>
      <c r="G578" s="402">
        <f t="shared" si="45"/>
        <v>0</v>
      </c>
    </row>
    <row r="579" spans="1:7" s="160" customFormat="1" ht="46.5" x14ac:dyDescent="0.35">
      <c r="A579" s="398"/>
      <c r="B579" s="399"/>
      <c r="C579" s="400" t="s">
        <v>899</v>
      </c>
      <c r="D579" s="409">
        <v>6</v>
      </c>
      <c r="E579" s="401" t="s">
        <v>761</v>
      </c>
      <c r="F579" s="411"/>
      <c r="G579" s="402">
        <f t="shared" ref="G579:G601" si="48">D579*F579</f>
        <v>0</v>
      </c>
    </row>
    <row r="580" spans="1:7" s="160" customFormat="1" x14ac:dyDescent="0.35">
      <c r="A580" s="398"/>
      <c r="B580" s="399"/>
      <c r="C580" s="400"/>
      <c r="D580" s="409"/>
      <c r="E580" s="401"/>
      <c r="F580" s="411"/>
      <c r="G580" s="402">
        <f t="shared" si="48"/>
        <v>0</v>
      </c>
    </row>
    <row r="581" spans="1:7" s="160" customFormat="1" ht="46.5" x14ac:dyDescent="0.35">
      <c r="A581" s="398"/>
      <c r="B581" s="399"/>
      <c r="C581" s="400" t="s">
        <v>900</v>
      </c>
      <c r="D581" s="409">
        <v>6</v>
      </c>
      <c r="E581" s="401" t="s">
        <v>761</v>
      </c>
      <c r="F581" s="411"/>
      <c r="G581" s="402">
        <f t="shared" si="48"/>
        <v>0</v>
      </c>
    </row>
    <row r="582" spans="1:7" s="160" customFormat="1" x14ac:dyDescent="0.35">
      <c r="A582" s="398"/>
      <c r="B582" s="399"/>
      <c r="C582" s="400"/>
      <c r="D582" s="409"/>
      <c r="E582" s="401"/>
      <c r="F582" s="411"/>
      <c r="G582" s="402">
        <f t="shared" si="48"/>
        <v>0</v>
      </c>
    </row>
    <row r="583" spans="1:7" s="160" customFormat="1" ht="46.5" x14ac:dyDescent="0.35">
      <c r="A583" s="398"/>
      <c r="B583" s="399"/>
      <c r="C583" s="400" t="s">
        <v>865</v>
      </c>
      <c r="D583" s="409">
        <v>6</v>
      </c>
      <c r="E583" s="401" t="s">
        <v>761</v>
      </c>
      <c r="F583" s="411"/>
      <c r="G583" s="402">
        <f t="shared" si="48"/>
        <v>0</v>
      </c>
    </row>
    <row r="584" spans="1:7" s="160" customFormat="1" x14ac:dyDescent="0.35">
      <c r="A584" s="398"/>
      <c r="B584" s="399"/>
      <c r="C584" s="400"/>
      <c r="D584" s="409"/>
      <c r="E584" s="401"/>
      <c r="F584" s="411"/>
      <c r="G584" s="402">
        <f t="shared" si="48"/>
        <v>0</v>
      </c>
    </row>
    <row r="585" spans="1:7" s="160" customFormat="1" ht="46.5" x14ac:dyDescent="0.35">
      <c r="A585" s="398"/>
      <c r="B585" s="399"/>
      <c r="C585" s="400" t="s">
        <v>866</v>
      </c>
      <c r="D585" s="409">
        <v>18</v>
      </c>
      <c r="E585" s="401" t="s">
        <v>761</v>
      </c>
      <c r="F585" s="411"/>
      <c r="G585" s="402">
        <f t="shared" si="48"/>
        <v>0</v>
      </c>
    </row>
    <row r="586" spans="1:7" s="160" customFormat="1" x14ac:dyDescent="0.35">
      <c r="A586" s="398"/>
      <c r="B586" s="399"/>
      <c r="C586" s="400"/>
      <c r="D586" s="409"/>
      <c r="E586" s="401"/>
      <c r="F586" s="411"/>
      <c r="G586" s="402">
        <f t="shared" si="48"/>
        <v>0</v>
      </c>
    </row>
    <row r="587" spans="1:7" s="160" customFormat="1" ht="46.5" x14ac:dyDescent="0.35">
      <c r="A587" s="398"/>
      <c r="B587" s="399"/>
      <c r="C587" s="400" t="s">
        <v>867</v>
      </c>
      <c r="D587" s="409">
        <v>12</v>
      </c>
      <c r="E587" s="401" t="s">
        <v>761</v>
      </c>
      <c r="F587" s="411"/>
      <c r="G587" s="402">
        <f t="shared" si="48"/>
        <v>0</v>
      </c>
    </row>
    <row r="588" spans="1:7" s="160" customFormat="1" x14ac:dyDescent="0.35">
      <c r="A588" s="398"/>
      <c r="B588" s="399"/>
      <c r="C588" s="400"/>
      <c r="D588" s="409"/>
      <c r="E588" s="401"/>
      <c r="F588" s="411"/>
      <c r="G588" s="402">
        <f t="shared" si="48"/>
        <v>0</v>
      </c>
    </row>
    <row r="589" spans="1:7" s="160" customFormat="1" x14ac:dyDescent="0.35">
      <c r="A589" s="398"/>
      <c r="B589" s="399"/>
      <c r="C589" s="400"/>
      <c r="D589" s="409"/>
      <c r="E589" s="401"/>
      <c r="F589" s="411"/>
      <c r="G589" s="402">
        <f t="shared" si="48"/>
        <v>0</v>
      </c>
    </row>
    <row r="590" spans="1:7" s="160" customFormat="1" x14ac:dyDescent="0.35">
      <c r="A590" s="398"/>
      <c r="B590" s="399"/>
      <c r="C590" s="400"/>
      <c r="D590" s="409"/>
      <c r="E590" s="401"/>
      <c r="F590" s="411"/>
      <c r="G590" s="402">
        <f t="shared" si="48"/>
        <v>0</v>
      </c>
    </row>
    <row r="591" spans="1:7" s="160" customFormat="1" x14ac:dyDescent="0.35">
      <c r="A591" s="398"/>
      <c r="B591" s="399"/>
      <c r="C591" s="400"/>
      <c r="D591" s="409"/>
      <c r="E591" s="401"/>
      <c r="F591" s="411"/>
      <c r="G591" s="402">
        <f t="shared" si="48"/>
        <v>0</v>
      </c>
    </row>
    <row r="592" spans="1:7" s="160" customFormat="1" x14ac:dyDescent="0.35">
      <c r="A592" s="398"/>
      <c r="B592" s="399"/>
      <c r="C592" s="400"/>
      <c r="D592" s="409"/>
      <c r="E592" s="401"/>
      <c r="F592" s="411"/>
      <c r="G592" s="402">
        <f t="shared" si="48"/>
        <v>0</v>
      </c>
    </row>
    <row r="593" spans="1:7" s="160" customFormat="1" x14ac:dyDescent="0.35">
      <c r="A593" s="398"/>
      <c r="B593" s="399"/>
      <c r="C593" s="400"/>
      <c r="D593" s="409"/>
      <c r="E593" s="401"/>
      <c r="F593" s="411"/>
      <c r="G593" s="402">
        <f t="shared" si="48"/>
        <v>0</v>
      </c>
    </row>
    <row r="594" spans="1:7" s="160" customFormat="1" x14ac:dyDescent="0.35">
      <c r="A594" s="398"/>
      <c r="B594" s="399"/>
      <c r="C594" s="400" t="s">
        <v>830</v>
      </c>
      <c r="D594" s="409">
        <v>1</v>
      </c>
      <c r="E594" s="401" t="s">
        <v>819</v>
      </c>
      <c r="F594" s="411"/>
      <c r="G594" s="402">
        <f t="shared" si="48"/>
        <v>0</v>
      </c>
    </row>
    <row r="595" spans="1:7" s="160" customFormat="1" x14ac:dyDescent="0.35">
      <c r="A595" s="398"/>
      <c r="B595" s="399"/>
      <c r="C595" s="400"/>
      <c r="D595" s="409"/>
      <c r="E595" s="401"/>
      <c r="F595" s="411"/>
      <c r="G595" s="402">
        <f t="shared" si="48"/>
        <v>0</v>
      </c>
    </row>
    <row r="596" spans="1:7" s="160" customFormat="1" x14ac:dyDescent="0.35">
      <c r="A596" s="398"/>
      <c r="B596" s="399"/>
      <c r="C596" s="400"/>
      <c r="D596" s="409"/>
      <c r="E596" s="401"/>
      <c r="F596" s="411"/>
      <c r="G596" s="402">
        <f t="shared" si="48"/>
        <v>0</v>
      </c>
    </row>
    <row r="597" spans="1:7" s="160" customFormat="1" x14ac:dyDescent="0.35">
      <c r="A597" s="398"/>
      <c r="B597" s="399"/>
      <c r="C597" s="400"/>
      <c r="D597" s="409"/>
      <c r="E597" s="401"/>
      <c r="F597" s="411"/>
      <c r="G597" s="402">
        <f t="shared" si="48"/>
        <v>0</v>
      </c>
    </row>
    <row r="598" spans="1:7" s="160" customFormat="1" x14ac:dyDescent="0.35">
      <c r="A598" s="398"/>
      <c r="B598" s="399"/>
      <c r="C598" s="400"/>
      <c r="D598" s="409"/>
      <c r="E598" s="401"/>
      <c r="F598" s="411"/>
      <c r="G598" s="402">
        <f t="shared" si="48"/>
        <v>0</v>
      </c>
    </row>
    <row r="599" spans="1:7" s="160" customFormat="1" x14ac:dyDescent="0.35">
      <c r="A599" s="398"/>
      <c r="B599" s="399"/>
      <c r="C599" s="400"/>
      <c r="D599" s="409"/>
      <c r="E599" s="401"/>
      <c r="F599" s="411"/>
      <c r="G599" s="402">
        <f t="shared" si="48"/>
        <v>0</v>
      </c>
    </row>
    <row r="600" spans="1:7" s="160" customFormat="1" x14ac:dyDescent="0.35">
      <c r="A600" s="398"/>
      <c r="B600" s="399"/>
      <c r="C600" s="400"/>
      <c r="D600" s="409"/>
      <c r="E600" s="401"/>
      <c r="F600" s="411"/>
      <c r="G600" s="402">
        <f t="shared" si="48"/>
        <v>0</v>
      </c>
    </row>
    <row r="601" spans="1:7" s="160" customFormat="1" x14ac:dyDescent="0.35">
      <c r="A601" s="398"/>
      <c r="B601" s="399"/>
      <c r="C601" s="400"/>
      <c r="D601" s="409"/>
      <c r="E601" s="401"/>
      <c r="F601" s="411"/>
      <c r="G601" s="402">
        <f t="shared" si="48"/>
        <v>0</v>
      </c>
    </row>
    <row r="602" spans="1:7" s="160" customFormat="1" x14ac:dyDescent="0.35">
      <c r="A602" s="398"/>
      <c r="B602" s="399"/>
      <c r="C602" s="400"/>
      <c r="D602" s="409"/>
      <c r="E602" s="401"/>
      <c r="F602" s="411"/>
      <c r="G602" s="402">
        <f t="shared" ref="G602:G619" si="49">ROUND(D602*F602,2)</f>
        <v>0</v>
      </c>
    </row>
    <row r="603" spans="1:7" s="160" customFormat="1" x14ac:dyDescent="0.35">
      <c r="A603" s="398"/>
      <c r="B603" s="399"/>
      <c r="C603" s="400"/>
      <c r="D603" s="409"/>
      <c r="E603" s="401"/>
      <c r="F603" s="411"/>
      <c r="G603" s="402">
        <f t="shared" si="49"/>
        <v>0</v>
      </c>
    </row>
    <row r="604" spans="1:7" s="160" customFormat="1" x14ac:dyDescent="0.35">
      <c r="A604" s="398"/>
      <c r="B604" s="399"/>
      <c r="C604" s="400"/>
      <c r="D604" s="409"/>
      <c r="E604" s="401"/>
      <c r="F604" s="411"/>
      <c r="G604" s="402">
        <f t="shared" si="49"/>
        <v>0</v>
      </c>
    </row>
    <row r="605" spans="1:7" s="160" customFormat="1" x14ac:dyDescent="0.35">
      <c r="A605" s="398"/>
      <c r="B605" s="399"/>
      <c r="C605" s="400"/>
      <c r="D605" s="409"/>
      <c r="E605" s="401"/>
      <c r="F605" s="411"/>
      <c r="G605" s="402">
        <f t="shared" si="49"/>
        <v>0</v>
      </c>
    </row>
    <row r="606" spans="1:7" s="160" customFormat="1" x14ac:dyDescent="0.35">
      <c r="A606" s="398"/>
      <c r="B606" s="399"/>
      <c r="C606" s="400"/>
      <c r="D606" s="409"/>
      <c r="E606" s="401"/>
      <c r="F606" s="411"/>
      <c r="G606" s="402">
        <f t="shared" si="49"/>
        <v>0</v>
      </c>
    </row>
    <row r="607" spans="1:7" s="160" customFormat="1" x14ac:dyDescent="0.35">
      <c r="A607" s="398"/>
      <c r="B607" s="399"/>
      <c r="C607" s="400"/>
      <c r="D607" s="409"/>
      <c r="E607" s="401"/>
      <c r="F607" s="411"/>
      <c r="G607" s="402">
        <f t="shared" si="49"/>
        <v>0</v>
      </c>
    </row>
    <row r="608" spans="1:7" s="160" customFormat="1" x14ac:dyDescent="0.35">
      <c r="A608" s="398"/>
      <c r="B608" s="399"/>
      <c r="C608" s="400"/>
      <c r="D608" s="409"/>
      <c r="E608" s="401"/>
      <c r="F608" s="411"/>
      <c r="G608" s="402">
        <f t="shared" si="49"/>
        <v>0</v>
      </c>
    </row>
    <row r="609" spans="1:7" s="160" customFormat="1" x14ac:dyDescent="0.35">
      <c r="A609" s="398"/>
      <c r="B609" s="399"/>
      <c r="C609" s="400"/>
      <c r="D609" s="409"/>
      <c r="E609" s="401"/>
      <c r="F609" s="411"/>
      <c r="G609" s="402">
        <f t="shared" si="49"/>
        <v>0</v>
      </c>
    </row>
    <row r="610" spans="1:7" s="160" customFormat="1" x14ac:dyDescent="0.35">
      <c r="A610" s="398"/>
      <c r="B610" s="399"/>
      <c r="C610" s="400"/>
      <c r="D610" s="409"/>
      <c r="E610" s="401"/>
      <c r="F610" s="411"/>
      <c r="G610" s="402">
        <f t="shared" si="49"/>
        <v>0</v>
      </c>
    </row>
    <row r="611" spans="1:7" s="160" customFormat="1" ht="24" thickBot="1" x14ac:dyDescent="0.4">
      <c r="A611" s="398"/>
      <c r="B611" s="399"/>
      <c r="C611" s="400"/>
      <c r="D611" s="409"/>
      <c r="E611" s="401"/>
      <c r="F611" s="411"/>
      <c r="G611" s="402">
        <f t="shared" si="49"/>
        <v>0</v>
      </c>
    </row>
    <row r="612" spans="1:7" s="160" customFormat="1" ht="24" thickBot="1" x14ac:dyDescent="0.4">
      <c r="A612" s="398"/>
      <c r="B612" s="399"/>
      <c r="C612" s="404" t="s">
        <v>760</v>
      </c>
      <c r="D612" s="409"/>
      <c r="E612" s="401"/>
      <c r="F612" s="411"/>
      <c r="G612" s="405">
        <f>SUM(G577:G611)</f>
        <v>0</v>
      </c>
    </row>
    <row r="613" spans="1:7" s="160" customFormat="1" x14ac:dyDescent="0.35">
      <c r="A613" s="398"/>
      <c r="B613" s="399"/>
      <c r="C613" s="400"/>
      <c r="D613" s="409"/>
      <c r="E613" s="401"/>
      <c r="F613" s="411"/>
      <c r="G613" s="402">
        <f t="shared" si="49"/>
        <v>0</v>
      </c>
    </row>
    <row r="614" spans="1:7" s="160" customFormat="1" x14ac:dyDescent="0.35">
      <c r="A614" s="398"/>
      <c r="B614" s="399"/>
      <c r="C614" s="400"/>
      <c r="D614" s="409"/>
      <c r="E614" s="401"/>
      <c r="F614" s="411"/>
      <c r="G614" s="402">
        <f t="shared" si="49"/>
        <v>0</v>
      </c>
    </row>
    <row r="615" spans="1:7" s="160" customFormat="1" x14ac:dyDescent="0.35">
      <c r="A615" s="398"/>
      <c r="B615" s="399"/>
      <c r="C615" s="400"/>
      <c r="D615" s="409"/>
      <c r="E615" s="401"/>
      <c r="F615" s="411"/>
      <c r="G615" s="402">
        <f t="shared" si="49"/>
        <v>0</v>
      </c>
    </row>
    <row r="616" spans="1:7" s="160" customFormat="1" x14ac:dyDescent="0.35">
      <c r="A616" s="398"/>
      <c r="B616" s="399"/>
      <c r="C616" s="400"/>
      <c r="D616" s="409"/>
      <c r="E616" s="401"/>
      <c r="F616" s="411"/>
      <c r="G616" s="402">
        <f t="shared" si="49"/>
        <v>0</v>
      </c>
    </row>
    <row r="617" spans="1:7" s="160" customFormat="1" x14ac:dyDescent="0.35">
      <c r="A617" s="398"/>
      <c r="B617" s="399"/>
      <c r="C617" s="400"/>
      <c r="D617" s="409"/>
      <c r="E617" s="401"/>
      <c r="F617" s="411"/>
      <c r="G617" s="402">
        <f t="shared" si="49"/>
        <v>0</v>
      </c>
    </row>
    <row r="618" spans="1:7" s="160" customFormat="1" x14ac:dyDescent="0.35">
      <c r="A618" s="398"/>
      <c r="B618" s="399"/>
      <c r="C618" s="400"/>
      <c r="D618" s="409"/>
      <c r="E618" s="401"/>
      <c r="F618" s="411"/>
      <c r="G618" s="402">
        <f t="shared" si="49"/>
        <v>0</v>
      </c>
    </row>
    <row r="619" spans="1:7" s="160" customFormat="1" ht="24" thickBot="1" x14ac:dyDescent="0.4">
      <c r="A619" s="398"/>
      <c r="B619" s="399"/>
      <c r="C619" s="400"/>
      <c r="D619" s="409"/>
      <c r="E619" s="401"/>
      <c r="F619" s="411"/>
      <c r="G619" s="402">
        <f t="shared" si="49"/>
        <v>0</v>
      </c>
    </row>
    <row r="620" spans="1:7" ht="18.75" customHeight="1" x14ac:dyDescent="0.35">
      <c r="A620" s="383"/>
      <c r="B620" s="384"/>
      <c r="C620" s="385"/>
      <c r="D620" s="386"/>
      <c r="E620" s="387"/>
      <c r="F620" s="410"/>
      <c r="G620" s="387"/>
    </row>
    <row r="621" spans="1:7" s="160" customFormat="1" x14ac:dyDescent="0.35">
      <c r="A621" s="388"/>
      <c r="B621" s="389"/>
      <c r="C621" s="390"/>
      <c r="D621" s="391"/>
      <c r="E621" s="391"/>
      <c r="F621" s="393" t="s">
        <v>2</v>
      </c>
      <c r="G621" s="393"/>
    </row>
    <row r="622" spans="1:7" s="160" customFormat="1" ht="24" thickBot="1" x14ac:dyDescent="0.4">
      <c r="A622" s="394"/>
      <c r="B622" s="395"/>
      <c r="C622" s="396" t="s">
        <v>753</v>
      </c>
      <c r="D622" s="397" t="s">
        <v>3</v>
      </c>
      <c r="E622" s="397" t="s">
        <v>1</v>
      </c>
      <c r="F622" s="397" t="s">
        <v>4</v>
      </c>
      <c r="G622" s="397" t="s">
        <v>5</v>
      </c>
    </row>
    <row r="623" spans="1:7" s="160" customFormat="1" ht="18" customHeight="1" x14ac:dyDescent="0.35">
      <c r="A623" s="398"/>
      <c r="B623" s="399"/>
      <c r="C623" s="400"/>
      <c r="D623" s="409"/>
      <c r="E623" s="401"/>
      <c r="F623" s="411"/>
      <c r="G623" s="402">
        <f t="shared" ref="G623:G624" si="50">ROUND(D623*F623,2)</f>
        <v>0</v>
      </c>
    </row>
    <row r="624" spans="1:7" s="160" customFormat="1" x14ac:dyDescent="0.35">
      <c r="A624" s="398"/>
      <c r="B624" s="399"/>
      <c r="C624" s="412" t="s">
        <v>869</v>
      </c>
      <c r="D624" s="409"/>
      <c r="E624" s="401"/>
      <c r="F624" s="411"/>
      <c r="G624" s="402">
        <f t="shared" si="50"/>
        <v>0</v>
      </c>
    </row>
    <row r="625" spans="1:7" s="160" customFormat="1" ht="19.5" customHeight="1" x14ac:dyDescent="0.35">
      <c r="A625" s="398"/>
      <c r="B625" s="399"/>
      <c r="C625" s="400"/>
      <c r="D625" s="409"/>
      <c r="E625" s="401"/>
      <c r="F625" s="411"/>
      <c r="G625" s="402">
        <f t="shared" ref="G625:G652" si="51">D625*F625</f>
        <v>0</v>
      </c>
    </row>
    <row r="626" spans="1:7" s="160" customFormat="1" ht="46.5" x14ac:dyDescent="0.35">
      <c r="A626" s="398"/>
      <c r="B626" s="399"/>
      <c r="C626" s="400" t="s">
        <v>871</v>
      </c>
      <c r="D626" s="409">
        <v>6</v>
      </c>
      <c r="E626" s="401" t="s">
        <v>761</v>
      </c>
      <c r="F626" s="411"/>
      <c r="G626" s="402">
        <f t="shared" si="51"/>
        <v>0</v>
      </c>
    </row>
    <row r="627" spans="1:7" s="160" customFormat="1" ht="17.25" customHeight="1" x14ac:dyDescent="0.35">
      <c r="A627" s="398"/>
      <c r="B627" s="399"/>
      <c r="C627" s="400"/>
      <c r="D627" s="409"/>
      <c r="E627" s="401"/>
      <c r="F627" s="411"/>
      <c r="G627" s="402">
        <f t="shared" si="51"/>
        <v>0</v>
      </c>
    </row>
    <row r="628" spans="1:7" s="160" customFormat="1" ht="46.5" x14ac:dyDescent="0.35">
      <c r="A628" s="398"/>
      <c r="B628" s="399"/>
      <c r="C628" s="400" t="s">
        <v>901</v>
      </c>
      <c r="D628" s="409">
        <v>6</v>
      </c>
      <c r="E628" s="401" t="s">
        <v>761</v>
      </c>
      <c r="F628" s="411"/>
      <c r="G628" s="402">
        <f t="shared" si="51"/>
        <v>0</v>
      </c>
    </row>
    <row r="629" spans="1:7" s="160" customFormat="1" ht="17.25" customHeight="1" x14ac:dyDescent="0.35">
      <c r="A629" s="398"/>
      <c r="B629" s="399"/>
      <c r="C629" s="400"/>
      <c r="D629" s="409"/>
      <c r="E629" s="401"/>
      <c r="F629" s="411"/>
      <c r="G629" s="402">
        <f t="shared" si="51"/>
        <v>0</v>
      </c>
    </row>
    <row r="630" spans="1:7" s="160" customFormat="1" ht="46.5" x14ac:dyDescent="0.35">
      <c r="A630" s="398"/>
      <c r="B630" s="399"/>
      <c r="C630" s="400" t="s">
        <v>874</v>
      </c>
      <c r="D630" s="409">
        <v>6</v>
      </c>
      <c r="E630" s="401" t="s">
        <v>761</v>
      </c>
      <c r="F630" s="411"/>
      <c r="G630" s="402">
        <f t="shared" si="51"/>
        <v>0</v>
      </c>
    </row>
    <row r="631" spans="1:7" s="160" customFormat="1" ht="17.25" customHeight="1" x14ac:dyDescent="0.35">
      <c r="A631" s="398"/>
      <c r="B631" s="399"/>
      <c r="C631" s="400"/>
      <c r="D631" s="409"/>
      <c r="E631" s="401"/>
      <c r="F631" s="411"/>
      <c r="G631" s="402">
        <f t="shared" si="51"/>
        <v>0</v>
      </c>
    </row>
    <row r="632" spans="1:7" s="160" customFormat="1" ht="46.5" x14ac:dyDescent="0.35">
      <c r="A632" s="398"/>
      <c r="B632" s="399"/>
      <c r="C632" s="400" t="s">
        <v>873</v>
      </c>
      <c r="D632" s="409">
        <v>6</v>
      </c>
      <c r="E632" s="401" t="s">
        <v>761</v>
      </c>
      <c r="F632" s="411"/>
      <c r="G632" s="402">
        <f t="shared" si="51"/>
        <v>0</v>
      </c>
    </row>
    <row r="633" spans="1:7" s="160" customFormat="1" ht="15.75" customHeight="1" x14ac:dyDescent="0.35">
      <c r="A633" s="398"/>
      <c r="B633" s="399"/>
      <c r="C633" s="400"/>
      <c r="D633" s="409"/>
      <c r="E633" s="401"/>
      <c r="F633" s="411"/>
      <c r="G633" s="402">
        <f t="shared" si="51"/>
        <v>0</v>
      </c>
    </row>
    <row r="634" spans="1:7" s="160" customFormat="1" ht="46.5" x14ac:dyDescent="0.35">
      <c r="A634" s="398"/>
      <c r="B634" s="399"/>
      <c r="C634" s="400" t="s">
        <v>875</v>
      </c>
      <c r="D634" s="409">
        <v>6</v>
      </c>
      <c r="E634" s="401" t="s">
        <v>761</v>
      </c>
      <c r="F634" s="411"/>
      <c r="G634" s="402">
        <f t="shared" si="51"/>
        <v>0</v>
      </c>
    </row>
    <row r="635" spans="1:7" s="160" customFormat="1" ht="18" customHeight="1" x14ac:dyDescent="0.35">
      <c r="A635" s="398"/>
      <c r="B635" s="399"/>
      <c r="C635" s="400"/>
      <c r="D635" s="409"/>
      <c r="E635" s="401"/>
      <c r="F635" s="411"/>
      <c r="G635" s="402">
        <f t="shared" si="51"/>
        <v>0</v>
      </c>
    </row>
    <row r="636" spans="1:7" s="160" customFormat="1" ht="93" x14ac:dyDescent="0.35">
      <c r="A636" s="398"/>
      <c r="B636" s="399"/>
      <c r="C636" s="400" t="s">
        <v>876</v>
      </c>
      <c r="D636" s="409">
        <v>6</v>
      </c>
      <c r="E636" s="401" t="s">
        <v>761</v>
      </c>
      <c r="F636" s="411"/>
      <c r="G636" s="402">
        <f t="shared" si="51"/>
        <v>0</v>
      </c>
    </row>
    <row r="637" spans="1:7" s="160" customFormat="1" ht="17.25" customHeight="1" x14ac:dyDescent="0.35">
      <c r="A637" s="398"/>
      <c r="B637" s="399"/>
      <c r="C637" s="400"/>
      <c r="D637" s="409"/>
      <c r="E637" s="401"/>
      <c r="F637" s="411"/>
      <c r="G637" s="402">
        <f t="shared" si="51"/>
        <v>0</v>
      </c>
    </row>
    <row r="638" spans="1:7" s="160" customFormat="1" ht="46.5" x14ac:dyDescent="0.35">
      <c r="A638" s="398"/>
      <c r="B638" s="399"/>
      <c r="C638" s="400" t="s">
        <v>877</v>
      </c>
      <c r="D638" s="409">
        <v>6</v>
      </c>
      <c r="E638" s="401" t="s">
        <v>761</v>
      </c>
      <c r="F638" s="411"/>
      <c r="G638" s="402">
        <f t="shared" si="51"/>
        <v>0</v>
      </c>
    </row>
    <row r="639" spans="1:7" s="160" customFormat="1" ht="14.25" customHeight="1" x14ac:dyDescent="0.35">
      <c r="A639" s="398"/>
      <c r="B639" s="399"/>
      <c r="C639" s="400"/>
      <c r="D639" s="409"/>
      <c r="E639" s="401"/>
      <c r="F639" s="411"/>
      <c r="G639" s="402">
        <f t="shared" si="51"/>
        <v>0</v>
      </c>
    </row>
    <row r="640" spans="1:7" s="160" customFormat="1" x14ac:dyDescent="0.35">
      <c r="A640" s="398"/>
      <c r="B640" s="399"/>
      <c r="C640" s="400" t="s">
        <v>878</v>
      </c>
      <c r="D640" s="409">
        <v>6</v>
      </c>
      <c r="E640" s="401" t="s">
        <v>761</v>
      </c>
      <c r="F640" s="411"/>
      <c r="G640" s="402">
        <f t="shared" si="51"/>
        <v>0</v>
      </c>
    </row>
    <row r="641" spans="1:7" s="160" customFormat="1" ht="15" customHeight="1" x14ac:dyDescent="0.35">
      <c r="A641" s="398"/>
      <c r="B641" s="399"/>
      <c r="C641" s="400"/>
      <c r="D641" s="409"/>
      <c r="E641" s="401"/>
      <c r="F641" s="411"/>
      <c r="G641" s="402">
        <f t="shared" si="51"/>
        <v>0</v>
      </c>
    </row>
    <row r="642" spans="1:7" s="160" customFormat="1" ht="46.5" x14ac:dyDescent="0.35">
      <c r="A642" s="398"/>
      <c r="B642" s="399"/>
      <c r="C642" s="400" t="s">
        <v>879</v>
      </c>
      <c r="D642" s="409">
        <v>6</v>
      </c>
      <c r="E642" s="401" t="s">
        <v>761</v>
      </c>
      <c r="F642" s="411"/>
      <c r="G642" s="402">
        <f t="shared" si="51"/>
        <v>0</v>
      </c>
    </row>
    <row r="643" spans="1:7" s="160" customFormat="1" ht="16.5" customHeight="1" x14ac:dyDescent="0.35">
      <c r="A643" s="398"/>
      <c r="B643" s="399"/>
      <c r="C643" s="400"/>
      <c r="D643" s="409"/>
      <c r="E643" s="401"/>
      <c r="F643" s="411"/>
      <c r="G643" s="402">
        <f t="shared" si="51"/>
        <v>0</v>
      </c>
    </row>
    <row r="644" spans="1:7" s="160" customFormat="1" ht="46.5" x14ac:dyDescent="0.35">
      <c r="A644" s="398"/>
      <c r="B644" s="399"/>
      <c r="C644" s="400" t="s">
        <v>880</v>
      </c>
      <c r="D644" s="409">
        <v>6</v>
      </c>
      <c r="E644" s="401" t="s">
        <v>761</v>
      </c>
      <c r="F644" s="411"/>
      <c r="G644" s="402">
        <f t="shared" si="51"/>
        <v>0</v>
      </c>
    </row>
    <row r="645" spans="1:7" s="160" customFormat="1" x14ac:dyDescent="0.35">
      <c r="A645" s="398"/>
      <c r="B645" s="399"/>
      <c r="C645" s="400"/>
      <c r="D645" s="409"/>
      <c r="E645" s="401"/>
      <c r="F645" s="411"/>
      <c r="G645" s="402">
        <f t="shared" si="51"/>
        <v>0</v>
      </c>
    </row>
    <row r="646" spans="1:7" s="160" customFormat="1" ht="69.75" x14ac:dyDescent="0.35">
      <c r="A646" s="398"/>
      <c r="B646" s="399"/>
      <c r="C646" s="400" t="s">
        <v>881</v>
      </c>
      <c r="D646" s="409">
        <v>30</v>
      </c>
      <c r="E646" s="401" t="s">
        <v>761</v>
      </c>
      <c r="F646" s="411"/>
      <c r="G646" s="402">
        <f t="shared" si="51"/>
        <v>0</v>
      </c>
    </row>
    <row r="647" spans="1:7" s="160" customFormat="1" x14ac:dyDescent="0.35">
      <c r="A647" s="398"/>
      <c r="B647" s="399"/>
      <c r="C647" s="400"/>
      <c r="D647" s="409"/>
      <c r="E647" s="401"/>
      <c r="F647" s="411"/>
      <c r="G647" s="402">
        <f t="shared" si="51"/>
        <v>0</v>
      </c>
    </row>
    <row r="648" spans="1:7" s="160" customFormat="1" ht="93" x14ac:dyDescent="0.35">
      <c r="A648" s="398"/>
      <c r="B648" s="399"/>
      <c r="C648" s="400" t="s">
        <v>902</v>
      </c>
      <c r="D648" s="409">
        <v>6</v>
      </c>
      <c r="E648" s="401" t="s">
        <v>761</v>
      </c>
      <c r="F648" s="411"/>
      <c r="G648" s="402">
        <f t="shared" si="51"/>
        <v>0</v>
      </c>
    </row>
    <row r="649" spans="1:7" s="160" customFormat="1" ht="15" customHeight="1" x14ac:dyDescent="0.35">
      <c r="A649" s="398"/>
      <c r="B649" s="399"/>
      <c r="C649" s="400"/>
      <c r="D649" s="409"/>
      <c r="E649" s="401"/>
      <c r="F649" s="411"/>
      <c r="G649" s="402">
        <f t="shared" si="51"/>
        <v>0</v>
      </c>
    </row>
    <row r="650" spans="1:7" s="160" customFormat="1" x14ac:dyDescent="0.35">
      <c r="A650" s="398"/>
      <c r="B650" s="399"/>
      <c r="C650" s="400" t="s">
        <v>830</v>
      </c>
      <c r="D650" s="409">
        <v>1</v>
      </c>
      <c r="E650" s="401" t="s">
        <v>819</v>
      </c>
      <c r="F650" s="411"/>
      <c r="G650" s="402">
        <f t="shared" si="51"/>
        <v>0</v>
      </c>
    </row>
    <row r="651" spans="1:7" s="160" customFormat="1" ht="15.75" customHeight="1" x14ac:dyDescent="0.35">
      <c r="A651" s="398"/>
      <c r="B651" s="399"/>
      <c r="C651" s="400"/>
      <c r="D651" s="409"/>
      <c r="E651" s="401"/>
      <c r="F651" s="411"/>
      <c r="G651" s="402">
        <f t="shared" si="51"/>
        <v>0</v>
      </c>
    </row>
    <row r="652" spans="1:7" s="160" customFormat="1" ht="46.5" x14ac:dyDescent="0.35">
      <c r="A652" s="398"/>
      <c r="B652" s="399"/>
      <c r="C652" s="400" t="s">
        <v>870</v>
      </c>
      <c r="D652" s="409">
        <v>1</v>
      </c>
      <c r="E652" s="401" t="s">
        <v>756</v>
      </c>
      <c r="F652" s="411"/>
      <c r="G652" s="402">
        <f t="shared" si="51"/>
        <v>0</v>
      </c>
    </row>
    <row r="653" spans="1:7" s="160" customFormat="1" ht="24" thickBot="1" x14ac:dyDescent="0.4">
      <c r="A653" s="398"/>
      <c r="B653" s="399"/>
      <c r="C653" s="400"/>
      <c r="D653" s="409"/>
      <c r="E653" s="401"/>
      <c r="F653" s="411"/>
      <c r="G653" s="402"/>
    </row>
    <row r="654" spans="1:7" s="160" customFormat="1" ht="24" thickBot="1" x14ac:dyDescent="0.4">
      <c r="A654" s="398"/>
      <c r="B654" s="399"/>
      <c r="C654" s="404" t="s">
        <v>760</v>
      </c>
      <c r="D654" s="409"/>
      <c r="E654" s="401"/>
      <c r="F654" s="411"/>
      <c r="G654" s="405">
        <f>SUM(G625:G653)</f>
        <v>0</v>
      </c>
    </row>
    <row r="655" spans="1:7" ht="18.75" customHeight="1" x14ac:dyDescent="0.35">
      <c r="A655" s="383"/>
      <c r="B655" s="384"/>
      <c r="C655" s="385"/>
      <c r="D655" s="386"/>
      <c r="E655" s="387"/>
      <c r="F655" s="410"/>
      <c r="G655" s="387"/>
    </row>
    <row r="656" spans="1:7" s="160" customFormat="1" x14ac:dyDescent="0.35">
      <c r="A656" s="388"/>
      <c r="B656" s="389"/>
      <c r="C656" s="390"/>
      <c r="D656" s="391"/>
      <c r="E656" s="391"/>
      <c r="F656" s="393" t="s">
        <v>2</v>
      </c>
      <c r="G656" s="393"/>
    </row>
    <row r="657" spans="1:7" s="160" customFormat="1" ht="24" thickBot="1" x14ac:dyDescent="0.4">
      <c r="A657" s="394"/>
      <c r="B657" s="395"/>
      <c r="C657" s="396" t="s">
        <v>753</v>
      </c>
      <c r="D657" s="397" t="s">
        <v>3</v>
      </c>
      <c r="E657" s="397" t="s">
        <v>1</v>
      </c>
      <c r="F657" s="397" t="s">
        <v>4</v>
      </c>
      <c r="G657" s="397" t="s">
        <v>5</v>
      </c>
    </row>
    <row r="658" spans="1:7" s="160" customFormat="1" ht="18" customHeight="1" x14ac:dyDescent="0.35">
      <c r="A658" s="398"/>
      <c r="B658" s="399"/>
      <c r="C658" s="400"/>
      <c r="D658" s="409"/>
      <c r="E658" s="401"/>
      <c r="F658" s="411"/>
      <c r="G658" s="402">
        <f t="shared" ref="G658:G659" si="52">ROUND(D658*F658,2)</f>
        <v>0</v>
      </c>
    </row>
    <row r="659" spans="1:7" s="160" customFormat="1" x14ac:dyDescent="0.35">
      <c r="A659" s="398"/>
      <c r="B659" s="399"/>
      <c r="C659" s="412" t="s">
        <v>882</v>
      </c>
      <c r="D659" s="409"/>
      <c r="E659" s="401"/>
      <c r="F659" s="411"/>
      <c r="G659" s="402">
        <f t="shared" si="52"/>
        <v>0</v>
      </c>
    </row>
    <row r="660" spans="1:7" s="160" customFormat="1" x14ac:dyDescent="0.35">
      <c r="A660" s="398"/>
      <c r="B660" s="399"/>
      <c r="C660" s="404"/>
      <c r="D660" s="409"/>
      <c r="E660" s="401"/>
      <c r="F660" s="411"/>
      <c r="G660" s="402"/>
    </row>
    <row r="661" spans="1:7" s="160" customFormat="1" x14ac:dyDescent="0.35">
      <c r="A661" s="398"/>
      <c r="B661" s="399"/>
      <c r="C661" s="404" t="s">
        <v>904</v>
      </c>
      <c r="D661" s="409"/>
      <c r="E661" s="401"/>
      <c r="F661" s="411"/>
      <c r="G661" s="402">
        <f>G25</f>
        <v>0</v>
      </c>
    </row>
    <row r="662" spans="1:7" s="160" customFormat="1" x14ac:dyDescent="0.35">
      <c r="A662" s="398"/>
      <c r="B662" s="399"/>
      <c r="C662" s="404"/>
      <c r="D662" s="409"/>
      <c r="E662" s="401"/>
      <c r="F662" s="411"/>
      <c r="G662" s="402"/>
    </row>
    <row r="663" spans="1:7" s="160" customFormat="1" x14ac:dyDescent="0.35">
      <c r="A663" s="398"/>
      <c r="B663" s="399"/>
      <c r="C663" s="404" t="s">
        <v>905</v>
      </c>
      <c r="D663" s="409"/>
      <c r="E663" s="401"/>
      <c r="F663" s="411"/>
      <c r="G663" s="402">
        <f>G49</f>
        <v>0</v>
      </c>
    </row>
    <row r="664" spans="1:7" s="160" customFormat="1" x14ac:dyDescent="0.35">
      <c r="A664" s="398"/>
      <c r="B664" s="399"/>
      <c r="C664" s="404"/>
      <c r="D664" s="409"/>
      <c r="E664" s="401"/>
      <c r="F664" s="411"/>
      <c r="G664" s="402"/>
    </row>
    <row r="665" spans="1:7" s="160" customFormat="1" x14ac:dyDescent="0.35">
      <c r="A665" s="398"/>
      <c r="B665" s="399"/>
      <c r="C665" s="404" t="s">
        <v>906</v>
      </c>
      <c r="D665" s="409"/>
      <c r="E665" s="401"/>
      <c r="F665" s="411"/>
      <c r="G665" s="402">
        <f>G75</f>
        <v>0</v>
      </c>
    </row>
    <row r="666" spans="1:7" s="160" customFormat="1" x14ac:dyDescent="0.35">
      <c r="A666" s="398"/>
      <c r="B666" s="399"/>
      <c r="C666" s="404"/>
      <c r="D666" s="409"/>
      <c r="E666" s="401"/>
      <c r="F666" s="411"/>
      <c r="G666" s="402"/>
    </row>
    <row r="667" spans="1:7" s="160" customFormat="1" x14ac:dyDescent="0.35">
      <c r="A667" s="398"/>
      <c r="B667" s="399"/>
      <c r="C667" s="404" t="s">
        <v>907</v>
      </c>
      <c r="D667" s="409"/>
      <c r="E667" s="401"/>
      <c r="F667" s="411"/>
      <c r="G667" s="402">
        <f>G99</f>
        <v>0</v>
      </c>
    </row>
    <row r="668" spans="1:7" s="160" customFormat="1" x14ac:dyDescent="0.35">
      <c r="A668" s="398"/>
      <c r="B668" s="399"/>
      <c r="C668" s="404"/>
      <c r="D668" s="409"/>
      <c r="E668" s="401"/>
      <c r="F668" s="411"/>
      <c r="G668" s="402"/>
    </row>
    <row r="669" spans="1:7" s="160" customFormat="1" x14ac:dyDescent="0.35">
      <c r="A669" s="398"/>
      <c r="B669" s="399"/>
      <c r="C669" s="404" t="s">
        <v>908</v>
      </c>
      <c r="D669" s="409"/>
      <c r="E669" s="401"/>
      <c r="F669" s="411"/>
      <c r="G669" s="402">
        <f>G128</f>
        <v>0</v>
      </c>
    </row>
    <row r="670" spans="1:7" s="160" customFormat="1" x14ac:dyDescent="0.35">
      <c r="A670" s="398"/>
      <c r="B670" s="399"/>
      <c r="C670" s="404"/>
      <c r="D670" s="409"/>
      <c r="E670" s="401"/>
      <c r="F670" s="411"/>
      <c r="G670" s="402"/>
    </row>
    <row r="671" spans="1:7" s="160" customFormat="1" x14ac:dyDescent="0.35">
      <c r="A671" s="398"/>
      <c r="B671" s="399"/>
      <c r="C671" s="404" t="s">
        <v>909</v>
      </c>
      <c r="D671" s="409"/>
      <c r="E671" s="401"/>
      <c r="F671" s="411"/>
      <c r="G671" s="402">
        <f>G155</f>
        <v>0</v>
      </c>
    </row>
    <row r="672" spans="1:7" s="160" customFormat="1" x14ac:dyDescent="0.35">
      <c r="A672" s="398"/>
      <c r="B672" s="399"/>
      <c r="C672" s="404"/>
      <c r="D672" s="409"/>
      <c r="E672" s="401"/>
      <c r="F672" s="411"/>
      <c r="G672" s="402"/>
    </row>
    <row r="673" spans="1:7" s="160" customFormat="1" x14ac:dyDescent="0.35">
      <c r="A673" s="398"/>
      <c r="B673" s="399"/>
      <c r="C673" s="404" t="s">
        <v>910</v>
      </c>
      <c r="D673" s="409"/>
      <c r="E673" s="401"/>
      <c r="F673" s="411"/>
      <c r="G673" s="402">
        <f>G176</f>
        <v>0</v>
      </c>
    </row>
    <row r="674" spans="1:7" s="160" customFormat="1" x14ac:dyDescent="0.35">
      <c r="A674" s="398"/>
      <c r="B674" s="399"/>
      <c r="C674" s="404"/>
      <c r="D674" s="409"/>
      <c r="E674" s="401"/>
      <c r="F674" s="411"/>
      <c r="G674" s="402"/>
    </row>
    <row r="675" spans="1:7" s="160" customFormat="1" x14ac:dyDescent="0.35">
      <c r="A675" s="398"/>
      <c r="B675" s="399"/>
      <c r="C675" s="404" t="s">
        <v>911</v>
      </c>
      <c r="D675" s="409"/>
      <c r="E675" s="401"/>
      <c r="F675" s="411"/>
      <c r="G675" s="402">
        <f>G203</f>
        <v>0</v>
      </c>
    </row>
    <row r="676" spans="1:7" s="160" customFormat="1" x14ac:dyDescent="0.35">
      <c r="A676" s="398"/>
      <c r="B676" s="399"/>
      <c r="C676" s="404"/>
      <c r="D676" s="409"/>
      <c r="E676" s="401"/>
      <c r="F676" s="411"/>
      <c r="G676" s="402"/>
    </row>
    <row r="677" spans="1:7" s="160" customFormat="1" x14ac:dyDescent="0.35">
      <c r="A677" s="398"/>
      <c r="B677" s="399"/>
      <c r="C677" s="404" t="s">
        <v>912</v>
      </c>
      <c r="D677" s="409"/>
      <c r="E677" s="401"/>
      <c r="F677" s="411"/>
      <c r="G677" s="402">
        <f>G241</f>
        <v>0</v>
      </c>
    </row>
    <row r="678" spans="1:7" s="160" customFormat="1" x14ac:dyDescent="0.35">
      <c r="A678" s="398"/>
      <c r="B678" s="399"/>
      <c r="C678" s="404"/>
      <c r="D678" s="409"/>
      <c r="E678" s="401"/>
      <c r="F678" s="411"/>
      <c r="G678" s="402"/>
    </row>
    <row r="679" spans="1:7" s="160" customFormat="1" x14ac:dyDescent="0.35">
      <c r="A679" s="398"/>
      <c r="B679" s="399"/>
      <c r="C679" s="404" t="s">
        <v>913</v>
      </c>
      <c r="D679" s="409"/>
      <c r="E679" s="401"/>
      <c r="F679" s="411"/>
      <c r="G679" s="402">
        <f>G276</f>
        <v>0</v>
      </c>
    </row>
    <row r="680" spans="1:7" s="160" customFormat="1" x14ac:dyDescent="0.35">
      <c r="A680" s="398"/>
      <c r="B680" s="399"/>
      <c r="C680" s="404"/>
      <c r="D680" s="409"/>
      <c r="E680" s="401"/>
      <c r="F680" s="411"/>
      <c r="G680" s="402"/>
    </row>
    <row r="681" spans="1:7" s="160" customFormat="1" x14ac:dyDescent="0.35">
      <c r="A681" s="398"/>
      <c r="B681" s="399"/>
      <c r="C681" s="404" t="s">
        <v>914</v>
      </c>
      <c r="D681" s="409"/>
      <c r="E681" s="401"/>
      <c r="F681" s="411"/>
      <c r="G681" s="402">
        <f>G323</f>
        <v>0</v>
      </c>
    </row>
    <row r="682" spans="1:7" s="160" customFormat="1" x14ac:dyDescent="0.35">
      <c r="A682" s="398"/>
      <c r="B682" s="399"/>
      <c r="C682" s="404"/>
      <c r="D682" s="409"/>
      <c r="E682" s="401"/>
      <c r="F682" s="411"/>
      <c r="G682" s="402"/>
    </row>
    <row r="683" spans="1:7" s="160" customFormat="1" x14ac:dyDescent="0.35">
      <c r="A683" s="398"/>
      <c r="B683" s="399"/>
      <c r="C683" s="404" t="s">
        <v>915</v>
      </c>
      <c r="D683" s="409"/>
      <c r="E683" s="401"/>
      <c r="F683" s="411"/>
      <c r="G683" s="402">
        <f>G371</f>
        <v>0</v>
      </c>
    </row>
    <row r="684" spans="1:7" s="160" customFormat="1" x14ac:dyDescent="0.35">
      <c r="A684" s="398"/>
      <c r="B684" s="399"/>
      <c r="C684" s="404"/>
      <c r="D684" s="409"/>
      <c r="E684" s="401"/>
      <c r="F684" s="411"/>
      <c r="G684" s="402"/>
    </row>
    <row r="685" spans="1:7" s="160" customFormat="1" x14ac:dyDescent="0.35">
      <c r="A685" s="398"/>
      <c r="B685" s="399"/>
      <c r="C685" s="404" t="s">
        <v>916</v>
      </c>
      <c r="D685" s="409"/>
      <c r="E685" s="401"/>
      <c r="F685" s="411"/>
      <c r="G685" s="402">
        <f>G409</f>
        <v>0</v>
      </c>
    </row>
    <row r="686" spans="1:7" s="160" customFormat="1" x14ac:dyDescent="0.35">
      <c r="A686" s="398"/>
      <c r="B686" s="399"/>
      <c r="C686" s="404"/>
      <c r="D686" s="409"/>
      <c r="E686" s="401"/>
      <c r="F686" s="411"/>
      <c r="G686" s="402"/>
    </row>
    <row r="687" spans="1:7" s="160" customFormat="1" x14ac:dyDescent="0.35">
      <c r="A687" s="398"/>
      <c r="B687" s="399"/>
      <c r="C687" s="404" t="s">
        <v>917</v>
      </c>
      <c r="D687" s="409"/>
      <c r="E687" s="401"/>
      <c r="F687" s="411"/>
      <c r="G687" s="402">
        <f>G435</f>
        <v>0</v>
      </c>
    </row>
    <row r="688" spans="1:7" s="160" customFormat="1" x14ac:dyDescent="0.35">
      <c r="A688" s="398"/>
      <c r="B688" s="399"/>
      <c r="C688" s="404"/>
      <c r="D688" s="409"/>
      <c r="E688" s="401"/>
      <c r="F688" s="411"/>
      <c r="G688" s="402"/>
    </row>
    <row r="689" spans="1:7" s="160" customFormat="1" x14ac:dyDescent="0.35">
      <c r="A689" s="398"/>
      <c r="B689" s="399"/>
      <c r="C689" s="404" t="s">
        <v>918</v>
      </c>
      <c r="D689" s="409"/>
      <c r="E689" s="401"/>
      <c r="F689" s="411"/>
      <c r="G689" s="402">
        <f>G461</f>
        <v>0</v>
      </c>
    </row>
    <row r="690" spans="1:7" s="160" customFormat="1" x14ac:dyDescent="0.35">
      <c r="A690" s="398"/>
      <c r="B690" s="399"/>
      <c r="C690" s="404"/>
      <c r="D690" s="409"/>
      <c r="E690" s="401"/>
      <c r="F690" s="411"/>
      <c r="G690" s="402"/>
    </row>
    <row r="691" spans="1:7" s="160" customFormat="1" x14ac:dyDescent="0.35">
      <c r="A691" s="398"/>
      <c r="B691" s="399"/>
      <c r="C691" s="404" t="s">
        <v>919</v>
      </c>
      <c r="D691" s="409"/>
      <c r="E691" s="401"/>
      <c r="F691" s="411"/>
      <c r="G691" s="402">
        <f>G491</f>
        <v>0</v>
      </c>
    </row>
    <row r="692" spans="1:7" s="160" customFormat="1" x14ac:dyDescent="0.35">
      <c r="A692" s="398"/>
      <c r="B692" s="399"/>
      <c r="C692" s="404"/>
      <c r="D692" s="409"/>
      <c r="E692" s="401"/>
      <c r="F692" s="411"/>
      <c r="G692" s="402"/>
    </row>
    <row r="693" spans="1:7" s="160" customFormat="1" x14ac:dyDescent="0.35">
      <c r="A693" s="398"/>
      <c r="B693" s="399"/>
      <c r="C693" s="404" t="s">
        <v>920</v>
      </c>
      <c r="D693" s="409"/>
      <c r="E693" s="401"/>
      <c r="F693" s="411"/>
      <c r="G693" s="402">
        <f>G532</f>
        <v>0</v>
      </c>
    </row>
    <row r="694" spans="1:7" s="160" customFormat="1" x14ac:dyDescent="0.35">
      <c r="A694" s="398"/>
      <c r="B694" s="399"/>
      <c r="C694" s="404"/>
      <c r="D694" s="409"/>
      <c r="E694" s="401"/>
      <c r="F694" s="411"/>
      <c r="G694" s="402"/>
    </row>
    <row r="695" spans="1:7" s="160" customFormat="1" x14ac:dyDescent="0.35">
      <c r="A695" s="398"/>
      <c r="B695" s="399"/>
      <c r="C695" s="404" t="s">
        <v>921</v>
      </c>
      <c r="D695" s="409"/>
      <c r="E695" s="401"/>
      <c r="F695" s="411"/>
      <c r="G695" s="402">
        <f>G612</f>
        <v>0</v>
      </c>
    </row>
    <row r="696" spans="1:7" s="160" customFormat="1" x14ac:dyDescent="0.35">
      <c r="A696" s="398"/>
      <c r="B696" s="399"/>
      <c r="C696" s="404"/>
      <c r="D696" s="409"/>
      <c r="E696" s="401"/>
      <c r="F696" s="411"/>
      <c r="G696" s="402"/>
    </row>
    <row r="697" spans="1:7" s="160" customFormat="1" x14ac:dyDescent="0.35">
      <c r="A697" s="398"/>
      <c r="B697" s="399"/>
      <c r="C697" s="404" t="s">
        <v>922</v>
      </c>
      <c r="D697" s="409"/>
      <c r="E697" s="401"/>
      <c r="F697" s="411"/>
      <c r="G697" s="402">
        <f>G654</f>
        <v>0</v>
      </c>
    </row>
    <row r="698" spans="1:7" s="160" customFormat="1" ht="24" thickBot="1" x14ac:dyDescent="0.4">
      <c r="A698" s="398"/>
      <c r="B698" s="399"/>
      <c r="C698" s="404"/>
      <c r="D698" s="409"/>
      <c r="E698" s="401"/>
      <c r="F698" s="411"/>
      <c r="G698" s="402"/>
    </row>
    <row r="699" spans="1:7" s="160" customFormat="1" ht="24" thickBot="1" x14ac:dyDescent="0.4">
      <c r="A699" s="398"/>
      <c r="B699" s="399"/>
      <c r="C699" s="415" t="s">
        <v>923</v>
      </c>
      <c r="D699" s="409"/>
      <c r="E699" s="401"/>
      <c r="F699" s="411"/>
      <c r="G699" s="405">
        <f>SUM(G659:G698)</f>
        <v>0</v>
      </c>
    </row>
    <row r="700" spans="1:7" s="160" customFormat="1" x14ac:dyDescent="0.35">
      <c r="A700" s="398"/>
      <c r="B700" s="399"/>
      <c r="C700" s="404"/>
      <c r="D700" s="409"/>
      <c r="E700" s="401"/>
      <c r="F700" s="411"/>
      <c r="G700" s="402"/>
    </row>
    <row r="701" spans="1:7" s="160" customFormat="1" x14ac:dyDescent="0.35">
      <c r="A701" s="398"/>
      <c r="B701" s="399"/>
      <c r="C701" s="404"/>
      <c r="D701" s="409"/>
      <c r="E701" s="401"/>
      <c r="F701" s="411"/>
      <c r="G701" s="402"/>
    </row>
    <row r="704" spans="1:7" x14ac:dyDescent="0.35">
      <c r="C704" s="400"/>
    </row>
  </sheetData>
  <pageMargins left="0.70866141732283472" right="0.70866141732283472" top="0.74803149606299213" bottom="0.74803149606299213" header="0.31496062992125984" footer="0.31496062992125984"/>
  <pageSetup paperSize="9" scale="61" orientation="portrait" useFirstPageNumber="1" r:id="rId1"/>
  <headerFooter>
    <oddHeader xml:space="preserve">&amp;L&amp;UΠΑΣΥΔΥ PLATRES APARTMENTS  
ΚΑΤΕΔΑΦΙΣΕΙΣ-ΜΕΤΑΤΡΟΠΕΣ
&amp;R
&amp;"-,Bold"&amp;14BLOCK 1&amp;"-,Regular"&amp;11
</oddHeader>
    <oddFooter>&amp;R2/&amp;P</oddFooter>
  </headerFooter>
  <rowBreaks count="19" manualBreakCount="19">
    <brk id="26" max="16383" man="1"/>
    <brk id="50" max="16383" man="1"/>
    <brk id="76" max="16383" man="1"/>
    <brk id="102" max="16383" man="1"/>
    <brk id="130" max="16383" man="1"/>
    <brk id="157" max="16383" man="1"/>
    <brk id="178" max="16383" man="1"/>
    <brk id="204" max="16383" man="1"/>
    <brk id="242" max="16383" man="1"/>
    <brk id="279" max="16383" man="1"/>
    <brk id="330" max="16383" man="1"/>
    <brk id="378" max="16383" man="1"/>
    <brk id="410" max="16383" man="1"/>
    <brk id="440" max="16383" man="1"/>
    <brk id="461" max="16383" man="1"/>
    <brk id="504" max="16383" man="1"/>
    <brk id="532" max="16383" man="1"/>
    <brk id="619" max="16383" man="1"/>
    <brk id="6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81F1-2A34-4160-AD11-1AFFD71B1395}">
  <sheetPr>
    <tabColor rgb="FFFFFF00"/>
  </sheetPr>
  <dimension ref="A1:K250"/>
  <sheetViews>
    <sheetView view="pageBreakPreview" topLeftCell="A2" zoomScale="75" zoomScaleNormal="100" zoomScaleSheetLayoutView="75" zoomScalePageLayoutView="85" workbookViewId="0">
      <selection activeCell="C118" sqref="C118"/>
    </sheetView>
  </sheetViews>
  <sheetFormatPr defaultColWidth="9.28515625" defaultRowHeight="14.25" x14ac:dyDescent="0.2"/>
  <cols>
    <col min="1" max="1" width="4.28515625" style="203" customWidth="1"/>
    <col min="2" max="2" width="1.7109375" style="202" customWidth="1"/>
    <col min="3" max="3" width="42.5703125" style="202" customWidth="1"/>
    <col min="4" max="4" width="1.28515625" style="203" customWidth="1"/>
    <col min="5" max="5" width="10.42578125" style="203" customWidth="1"/>
    <col min="6" max="6" width="0.7109375" style="202" customWidth="1"/>
    <col min="7" max="7" width="9.28515625" style="203" customWidth="1"/>
    <col min="8" max="8" width="14.5703125" style="230" customWidth="1"/>
    <col min="9" max="9" width="10.7109375" style="294" customWidth="1"/>
    <col min="10" max="10" width="4" style="206" customWidth="1"/>
    <col min="11" max="16384" width="9.28515625" style="206"/>
  </cols>
  <sheetData>
    <row r="1" spans="1:11" hidden="1" x14ac:dyDescent="0.2">
      <c r="A1" s="200"/>
      <c r="B1" s="201"/>
      <c r="H1" s="204"/>
      <c r="I1" s="205"/>
    </row>
    <row r="2" spans="1:11" s="181" customFormat="1" ht="15" x14ac:dyDescent="0.25">
      <c r="A2" s="178"/>
      <c r="B2" s="177"/>
      <c r="C2" s="177"/>
      <c r="D2" s="178"/>
      <c r="E2" s="179"/>
      <c r="F2" s="177"/>
      <c r="G2" s="180"/>
      <c r="H2" s="178"/>
      <c r="I2" s="207"/>
    </row>
    <row r="3" spans="1:11" s="176" customFormat="1" ht="15" x14ac:dyDescent="0.25">
      <c r="A3" s="208"/>
      <c r="B3" s="182"/>
      <c r="C3" s="182"/>
      <c r="D3" s="183"/>
      <c r="E3" s="184"/>
      <c r="F3" s="185"/>
      <c r="G3" s="198"/>
      <c r="H3" s="209" t="s">
        <v>2</v>
      </c>
      <c r="I3" s="186"/>
    </row>
    <row r="4" spans="1:11" s="217" customFormat="1" ht="15" x14ac:dyDescent="0.25">
      <c r="A4" s="210"/>
      <c r="B4" s="211"/>
      <c r="C4" s="211" t="s">
        <v>0</v>
      </c>
      <c r="D4" s="212"/>
      <c r="E4" s="213" t="s">
        <v>3</v>
      </c>
      <c r="F4" s="214"/>
      <c r="G4" s="212" t="s">
        <v>1</v>
      </c>
      <c r="H4" s="215" t="s">
        <v>404</v>
      </c>
      <c r="I4" s="216" t="s">
        <v>402</v>
      </c>
    </row>
    <row r="5" spans="1:11" ht="15" x14ac:dyDescent="0.25">
      <c r="A5" s="218"/>
      <c r="C5" s="219"/>
      <c r="D5" s="220"/>
      <c r="E5" s="221"/>
      <c r="F5" s="222"/>
      <c r="G5" s="223"/>
      <c r="H5" s="224"/>
      <c r="I5" s="225"/>
    </row>
    <row r="6" spans="1:11" x14ac:dyDescent="0.2">
      <c r="A6" s="226"/>
      <c r="C6" s="227" t="s">
        <v>405</v>
      </c>
      <c r="D6" s="228"/>
      <c r="F6" s="222"/>
      <c r="G6" s="229"/>
      <c r="I6" s="231"/>
    </row>
    <row r="7" spans="1:11" ht="15" customHeight="1" x14ac:dyDescent="0.2">
      <c r="A7" s="226"/>
      <c r="B7" s="232" t="s">
        <v>406</v>
      </c>
      <c r="C7" s="232" t="s">
        <v>406</v>
      </c>
      <c r="D7" s="233"/>
      <c r="F7" s="222"/>
      <c r="G7" s="229"/>
      <c r="I7" s="231"/>
      <c r="K7" s="234"/>
    </row>
    <row r="8" spans="1:11" ht="91.9" customHeight="1" x14ac:dyDescent="0.2">
      <c r="A8" s="235" t="s">
        <v>9</v>
      </c>
      <c r="C8" s="236" t="s">
        <v>407</v>
      </c>
      <c r="D8" s="237"/>
      <c r="F8" s="222"/>
      <c r="G8" s="229"/>
      <c r="I8" s="231"/>
    </row>
    <row r="9" spans="1:11" x14ac:dyDescent="0.2">
      <c r="A9" s="226"/>
      <c r="B9" s="232"/>
      <c r="C9" s="232"/>
      <c r="D9" s="237"/>
      <c r="F9" s="222"/>
      <c r="G9" s="229"/>
      <c r="H9" s="238"/>
      <c r="I9" s="231"/>
    </row>
    <row r="10" spans="1:11" ht="60.75" customHeight="1" x14ac:dyDescent="0.2">
      <c r="A10" s="235" t="s">
        <v>10</v>
      </c>
      <c r="C10" s="236" t="s">
        <v>408</v>
      </c>
      <c r="D10" s="237"/>
      <c r="F10" s="222"/>
      <c r="G10" s="229"/>
      <c r="H10" s="238"/>
      <c r="I10" s="231"/>
    </row>
    <row r="11" spans="1:11" x14ac:dyDescent="0.2">
      <c r="A11" s="226"/>
      <c r="C11" s="232"/>
      <c r="D11" s="237"/>
      <c r="F11" s="222"/>
      <c r="G11" s="229"/>
      <c r="H11" s="238"/>
      <c r="I11" s="239"/>
    </row>
    <row r="12" spans="1:11" ht="70.900000000000006" customHeight="1" x14ac:dyDescent="0.2">
      <c r="A12" s="235" t="s">
        <v>11</v>
      </c>
      <c r="C12" s="236" t="s">
        <v>409</v>
      </c>
      <c r="D12" s="237"/>
      <c r="F12" s="222"/>
      <c r="G12" s="229"/>
      <c r="H12" s="238"/>
      <c r="I12" s="239"/>
    </row>
    <row r="13" spans="1:11" x14ac:dyDescent="0.2">
      <c r="A13" s="226"/>
      <c r="B13" s="232"/>
      <c r="C13" s="232"/>
      <c r="D13" s="237"/>
      <c r="F13" s="222"/>
      <c r="G13" s="229"/>
      <c r="H13" s="238"/>
      <c r="I13" s="239"/>
    </row>
    <row r="14" spans="1:11" ht="47.65" customHeight="1" x14ac:dyDescent="0.2">
      <c r="A14" s="235"/>
      <c r="C14" s="236"/>
      <c r="D14" s="237"/>
      <c r="F14" s="222"/>
      <c r="G14" s="229"/>
      <c r="H14" s="238"/>
      <c r="I14" s="239"/>
    </row>
    <row r="15" spans="1:11" x14ac:dyDescent="0.2">
      <c r="A15" s="226"/>
      <c r="C15" s="232"/>
      <c r="D15" s="237"/>
      <c r="F15" s="222"/>
      <c r="G15" s="229"/>
      <c r="H15" s="238"/>
      <c r="I15" s="239"/>
    </row>
    <row r="16" spans="1:11" x14ac:dyDescent="0.2">
      <c r="A16" s="226"/>
      <c r="C16" s="240"/>
      <c r="D16" s="237"/>
      <c r="F16" s="222"/>
      <c r="G16" s="229"/>
      <c r="H16" s="238"/>
      <c r="I16" s="239"/>
    </row>
    <row r="17" spans="1:9" x14ac:dyDescent="0.2">
      <c r="A17" s="226"/>
      <c r="B17" s="241"/>
      <c r="C17" s="241"/>
      <c r="D17" s="242"/>
      <c r="F17" s="222"/>
      <c r="G17" s="229"/>
      <c r="H17" s="238"/>
      <c r="I17" s="239"/>
    </row>
    <row r="18" spans="1:9" x14ac:dyDescent="0.2">
      <c r="A18" s="226"/>
      <c r="B18" s="243"/>
      <c r="C18" s="241" t="s">
        <v>406</v>
      </c>
      <c r="D18" s="244"/>
      <c r="F18" s="222"/>
      <c r="G18" s="229"/>
      <c r="H18" s="238"/>
      <c r="I18" s="239"/>
    </row>
    <row r="19" spans="1:9" x14ac:dyDescent="0.2">
      <c r="A19" s="226"/>
      <c r="D19" s="229"/>
      <c r="F19" s="222"/>
      <c r="G19" s="229"/>
      <c r="H19" s="238"/>
      <c r="I19" s="239"/>
    </row>
    <row r="20" spans="1:9" x14ac:dyDescent="0.2">
      <c r="A20" s="226"/>
      <c r="D20" s="229"/>
      <c r="F20" s="222"/>
      <c r="G20" s="229"/>
      <c r="H20" s="238"/>
      <c r="I20" s="239"/>
    </row>
    <row r="21" spans="1:9" x14ac:dyDescent="0.2">
      <c r="A21" s="226"/>
      <c r="D21" s="229"/>
      <c r="F21" s="222"/>
      <c r="G21" s="229"/>
      <c r="H21" s="238"/>
      <c r="I21" s="239"/>
    </row>
    <row r="22" spans="1:9" x14ac:dyDescent="0.2">
      <c r="A22" s="226"/>
      <c r="D22" s="229"/>
      <c r="F22" s="222"/>
      <c r="G22" s="229"/>
      <c r="H22" s="238"/>
      <c r="I22" s="239"/>
    </row>
    <row r="23" spans="1:9" x14ac:dyDescent="0.2">
      <c r="A23" s="226"/>
      <c r="D23" s="229"/>
      <c r="F23" s="222"/>
      <c r="G23" s="229"/>
      <c r="H23" s="238"/>
      <c r="I23" s="239"/>
    </row>
    <row r="24" spans="1:9" x14ac:dyDescent="0.2">
      <c r="A24" s="226"/>
      <c r="D24" s="229"/>
      <c r="F24" s="222"/>
      <c r="G24" s="229"/>
      <c r="H24" s="238"/>
      <c r="I24" s="239"/>
    </row>
    <row r="25" spans="1:9" x14ac:dyDescent="0.2">
      <c r="A25" s="226"/>
      <c r="D25" s="229"/>
      <c r="F25" s="222"/>
      <c r="G25" s="229"/>
      <c r="H25" s="238"/>
      <c r="I25" s="239"/>
    </row>
    <row r="26" spans="1:9" x14ac:dyDescent="0.2">
      <c r="A26" s="226"/>
      <c r="D26" s="229"/>
      <c r="F26" s="222"/>
      <c r="G26" s="229"/>
      <c r="H26" s="238"/>
      <c r="I26" s="239"/>
    </row>
    <row r="27" spans="1:9" x14ac:dyDescent="0.2">
      <c r="A27" s="226"/>
      <c r="D27" s="229"/>
      <c r="F27" s="222"/>
      <c r="G27" s="229"/>
      <c r="H27" s="238"/>
      <c r="I27" s="239"/>
    </row>
    <row r="28" spans="1:9" x14ac:dyDescent="0.2">
      <c r="A28" s="226"/>
      <c r="D28" s="229"/>
      <c r="F28" s="222"/>
      <c r="G28" s="229"/>
      <c r="H28" s="238"/>
      <c r="I28" s="239"/>
    </row>
    <row r="29" spans="1:9" x14ac:dyDescent="0.2">
      <c r="A29" s="226"/>
      <c r="D29" s="229"/>
      <c r="F29" s="222"/>
      <c r="G29" s="229"/>
      <c r="H29" s="238"/>
      <c r="I29" s="239"/>
    </row>
    <row r="30" spans="1:9" x14ac:dyDescent="0.2">
      <c r="A30" s="226"/>
      <c r="D30" s="229"/>
      <c r="F30" s="222"/>
      <c r="G30" s="229"/>
      <c r="H30" s="238"/>
      <c r="I30" s="239"/>
    </row>
    <row r="31" spans="1:9" x14ac:dyDescent="0.2">
      <c r="A31" s="226"/>
      <c r="D31" s="229"/>
      <c r="F31" s="222"/>
      <c r="G31" s="229"/>
      <c r="H31" s="238"/>
      <c r="I31" s="239"/>
    </row>
    <row r="32" spans="1:9" x14ac:dyDescent="0.2">
      <c r="A32" s="226"/>
      <c r="D32" s="229"/>
      <c r="F32" s="222"/>
      <c r="G32" s="229"/>
      <c r="H32" s="238"/>
      <c r="I32" s="239"/>
    </row>
    <row r="33" spans="1:9" x14ac:dyDescent="0.2">
      <c r="A33" s="226"/>
      <c r="D33" s="229"/>
      <c r="F33" s="222"/>
      <c r="G33" s="229"/>
      <c r="H33" s="238"/>
      <c r="I33" s="239"/>
    </row>
    <row r="34" spans="1:9" x14ac:dyDescent="0.2">
      <c r="A34" s="226"/>
      <c r="D34" s="229"/>
      <c r="F34" s="222"/>
      <c r="G34" s="229"/>
      <c r="H34" s="238"/>
      <c r="I34" s="239"/>
    </row>
    <row r="35" spans="1:9" x14ac:dyDescent="0.2">
      <c r="A35" s="226"/>
      <c r="D35" s="229"/>
      <c r="F35" s="222"/>
      <c r="G35" s="229"/>
      <c r="H35" s="238"/>
      <c r="I35" s="239"/>
    </row>
    <row r="36" spans="1:9" x14ac:dyDescent="0.2">
      <c r="A36" s="226"/>
      <c r="D36" s="229"/>
      <c r="F36" s="222"/>
      <c r="G36" s="229"/>
      <c r="H36" s="238"/>
      <c r="I36" s="239"/>
    </row>
    <row r="37" spans="1:9" x14ac:dyDescent="0.2">
      <c r="A37" s="245"/>
      <c r="B37" s="246"/>
      <c r="C37" s="246"/>
      <c r="D37" s="247"/>
      <c r="E37" s="248"/>
      <c r="F37" s="249"/>
      <c r="G37" s="245"/>
      <c r="H37" s="250"/>
      <c r="I37" s="251"/>
    </row>
    <row r="38" spans="1:9" ht="15" x14ac:dyDescent="0.25">
      <c r="A38" s="252"/>
      <c r="B38" s="253"/>
      <c r="C38" s="254"/>
      <c r="D38" s="255"/>
      <c r="E38" s="221"/>
      <c r="F38" s="253"/>
      <c r="G38" s="256"/>
      <c r="H38" s="257"/>
      <c r="I38" s="258"/>
    </row>
    <row r="39" spans="1:9" ht="15.75" thickBot="1" x14ac:dyDescent="0.3">
      <c r="A39" s="189"/>
      <c r="E39" s="259" t="s">
        <v>6</v>
      </c>
      <c r="G39" s="260"/>
      <c r="H39" s="261"/>
      <c r="I39" s="262"/>
    </row>
    <row r="40" spans="1:9" ht="15.75" thickTop="1" x14ac:dyDescent="0.25">
      <c r="E40" s="259"/>
      <c r="G40" s="202"/>
      <c r="H40" s="203"/>
      <c r="I40" s="263"/>
    </row>
    <row r="41" spans="1:9" x14ac:dyDescent="0.2">
      <c r="A41" s="248"/>
      <c r="B41" s="246"/>
      <c r="C41" s="246"/>
      <c r="D41" s="248"/>
      <c r="E41" s="248"/>
      <c r="F41" s="246"/>
      <c r="G41" s="248"/>
      <c r="H41" s="264"/>
      <c r="I41" s="265"/>
    </row>
    <row r="42" spans="1:9" ht="15" x14ac:dyDescent="0.25">
      <c r="A42" s="266"/>
      <c r="B42" s="267"/>
      <c r="C42" s="267"/>
      <c r="D42" s="268"/>
      <c r="E42" s="269"/>
      <c r="F42" s="270"/>
      <c r="G42" s="271"/>
      <c r="H42" s="272" t="s">
        <v>2</v>
      </c>
      <c r="I42" s="273"/>
    </row>
    <row r="43" spans="1:9" ht="15" x14ac:dyDescent="0.25">
      <c r="A43" s="210"/>
      <c r="B43" s="211"/>
      <c r="C43" s="211" t="s">
        <v>0</v>
      </c>
      <c r="D43" s="212"/>
      <c r="E43" s="213" t="s">
        <v>3</v>
      </c>
      <c r="F43" s="214"/>
      <c r="G43" s="212" t="s">
        <v>1</v>
      </c>
      <c r="H43" s="215" t="s">
        <v>404</v>
      </c>
      <c r="I43" s="216" t="s">
        <v>402</v>
      </c>
    </row>
    <row r="44" spans="1:9" ht="15" x14ac:dyDescent="0.25">
      <c r="A44" s="218"/>
      <c r="C44" s="219"/>
      <c r="D44" s="220"/>
      <c r="E44" s="221"/>
      <c r="F44" s="222"/>
      <c r="G44" s="223"/>
      <c r="H44" s="224"/>
      <c r="I44" s="225"/>
    </row>
    <row r="45" spans="1:9" ht="15" x14ac:dyDescent="0.25">
      <c r="A45" s="226"/>
      <c r="C45" s="274" t="s">
        <v>410</v>
      </c>
      <c r="D45" s="275"/>
      <c r="F45" s="222"/>
      <c r="G45" s="229"/>
      <c r="I45" s="231"/>
    </row>
    <row r="46" spans="1:9" ht="15" x14ac:dyDescent="0.25">
      <c r="A46" s="226"/>
      <c r="B46" s="232"/>
      <c r="C46" s="240"/>
      <c r="D46" s="276"/>
      <c r="F46" s="222"/>
      <c r="G46" s="229"/>
      <c r="I46" s="231"/>
    </row>
    <row r="47" spans="1:9" ht="61.9" customHeight="1" x14ac:dyDescent="0.2">
      <c r="A47" s="235" t="s">
        <v>9</v>
      </c>
      <c r="C47" s="236" t="s">
        <v>411</v>
      </c>
      <c r="D47" s="233"/>
      <c r="E47" s="202"/>
      <c r="F47" s="222"/>
      <c r="G47" s="229"/>
      <c r="I47" s="231"/>
    </row>
    <row r="48" spans="1:9" x14ac:dyDescent="0.2">
      <c r="A48" s="226"/>
      <c r="B48" s="277"/>
      <c r="C48" s="240"/>
      <c r="D48" s="237"/>
      <c r="F48" s="222"/>
      <c r="G48" s="229"/>
      <c r="H48" s="238"/>
      <c r="I48" s="239"/>
    </row>
    <row r="49" spans="1:9" ht="44.65" customHeight="1" x14ac:dyDescent="0.2">
      <c r="A49" s="226"/>
      <c r="C49" s="236" t="s">
        <v>412</v>
      </c>
      <c r="D49" s="237"/>
      <c r="F49" s="222"/>
      <c r="G49" s="229"/>
      <c r="H49" s="238"/>
      <c r="I49" s="239"/>
    </row>
    <row r="50" spans="1:9" x14ac:dyDescent="0.2">
      <c r="A50" s="226"/>
      <c r="B50" s="277"/>
      <c r="C50" s="240" t="s">
        <v>406</v>
      </c>
      <c r="D50" s="237"/>
      <c r="F50" s="222"/>
      <c r="G50" s="229"/>
      <c r="H50" s="238"/>
      <c r="I50" s="239"/>
    </row>
    <row r="51" spans="1:9" ht="46.9" customHeight="1" x14ac:dyDescent="0.2">
      <c r="A51" s="226"/>
      <c r="C51" s="236" t="s">
        <v>413</v>
      </c>
      <c r="D51" s="237"/>
      <c r="F51" s="222"/>
      <c r="G51" s="229"/>
      <c r="H51" s="238"/>
      <c r="I51" s="239"/>
    </row>
    <row r="52" spans="1:9" x14ac:dyDescent="0.2">
      <c r="A52" s="226"/>
      <c r="C52" s="232"/>
      <c r="D52" s="237"/>
      <c r="F52" s="222"/>
      <c r="G52" s="229"/>
      <c r="H52" s="238"/>
      <c r="I52" s="239"/>
    </row>
    <row r="53" spans="1:9" ht="36" x14ac:dyDescent="0.2">
      <c r="A53" s="226"/>
      <c r="C53" s="236" t="s">
        <v>414</v>
      </c>
      <c r="D53" s="237"/>
      <c r="F53" s="222"/>
      <c r="G53" s="229"/>
      <c r="H53" s="238"/>
      <c r="I53" s="239"/>
    </row>
    <row r="54" spans="1:9" x14ac:dyDescent="0.2">
      <c r="A54" s="226"/>
      <c r="C54" s="232"/>
      <c r="D54" s="237"/>
      <c r="F54" s="222"/>
      <c r="G54" s="229"/>
      <c r="H54" s="238"/>
      <c r="I54" s="239"/>
    </row>
    <row r="55" spans="1:9" x14ac:dyDescent="0.2">
      <c r="A55" s="226"/>
      <c r="C55" s="240" t="s">
        <v>415</v>
      </c>
      <c r="D55" s="237"/>
      <c r="F55" s="222"/>
      <c r="G55" s="229"/>
      <c r="H55" s="238"/>
      <c r="I55" s="239"/>
    </row>
    <row r="56" spans="1:9" x14ac:dyDescent="0.2">
      <c r="A56" s="226"/>
      <c r="C56" s="232"/>
      <c r="D56" s="237"/>
      <c r="F56" s="222"/>
      <c r="G56" s="229"/>
      <c r="H56" s="238"/>
      <c r="I56" s="239"/>
    </row>
    <row r="57" spans="1:9" x14ac:dyDescent="0.2">
      <c r="A57" s="226"/>
      <c r="B57" s="277"/>
      <c r="C57" s="240"/>
      <c r="D57" s="237"/>
      <c r="F57" s="222"/>
      <c r="G57" s="229"/>
      <c r="H57" s="238"/>
      <c r="I57" s="239"/>
    </row>
    <row r="58" spans="1:9" ht="18" customHeight="1" x14ac:dyDescent="0.2">
      <c r="A58" s="226"/>
      <c r="C58" s="206"/>
      <c r="D58" s="237"/>
      <c r="F58" s="222"/>
      <c r="G58" s="229"/>
      <c r="H58" s="238"/>
      <c r="I58" s="239"/>
    </row>
    <row r="59" spans="1:9" x14ac:dyDescent="0.2">
      <c r="A59" s="226"/>
      <c r="C59" s="232"/>
      <c r="D59" s="237"/>
      <c r="F59" s="222"/>
      <c r="G59" s="229"/>
      <c r="H59" s="238"/>
      <c r="I59" s="239"/>
    </row>
    <row r="60" spans="1:9" x14ac:dyDescent="0.2">
      <c r="A60" s="226"/>
      <c r="C60" s="232"/>
      <c r="D60" s="237"/>
      <c r="F60" s="222"/>
      <c r="G60" s="229"/>
      <c r="H60" s="238"/>
      <c r="I60" s="239"/>
    </row>
    <row r="61" spans="1:9" x14ac:dyDescent="0.2">
      <c r="A61" s="226"/>
      <c r="C61" s="232"/>
      <c r="D61" s="237"/>
      <c r="F61" s="222"/>
      <c r="G61" s="229"/>
      <c r="H61" s="238"/>
      <c r="I61" s="239"/>
    </row>
    <row r="62" spans="1:9" x14ac:dyDescent="0.2">
      <c r="A62" s="226"/>
      <c r="C62" s="232"/>
      <c r="D62" s="237"/>
      <c r="F62" s="222"/>
      <c r="G62" s="229"/>
      <c r="H62" s="238"/>
      <c r="I62" s="239"/>
    </row>
    <row r="63" spans="1:9" x14ac:dyDescent="0.2">
      <c r="A63" s="226"/>
      <c r="C63" s="232"/>
      <c r="D63" s="229"/>
      <c r="F63" s="222"/>
      <c r="G63" s="229"/>
      <c r="H63" s="238"/>
      <c r="I63" s="239"/>
    </row>
    <row r="64" spans="1:9" x14ac:dyDescent="0.2">
      <c r="A64" s="226"/>
      <c r="C64" s="240"/>
      <c r="D64" s="229"/>
      <c r="F64" s="222"/>
      <c r="G64" s="229"/>
      <c r="H64" s="238"/>
      <c r="I64" s="239"/>
    </row>
    <row r="65" spans="1:9" x14ac:dyDescent="0.2">
      <c r="A65" s="226"/>
      <c r="B65" s="278"/>
      <c r="C65" s="279"/>
      <c r="D65" s="229"/>
      <c r="F65" s="222"/>
      <c r="G65" s="229"/>
      <c r="H65" s="238"/>
      <c r="I65" s="239"/>
    </row>
    <row r="66" spans="1:9" ht="15" x14ac:dyDescent="0.25">
      <c r="A66" s="226" t="s">
        <v>10</v>
      </c>
      <c r="B66" s="280"/>
      <c r="C66" s="202" t="s">
        <v>416</v>
      </c>
      <c r="D66" s="229"/>
      <c r="E66" s="203">
        <v>15</v>
      </c>
      <c r="F66" s="222"/>
      <c r="G66" s="229" t="s">
        <v>417</v>
      </c>
      <c r="H66" s="314"/>
      <c r="I66" s="6">
        <f>E66*H66</f>
        <v>0</v>
      </c>
    </row>
    <row r="67" spans="1:9" x14ac:dyDescent="0.2">
      <c r="A67" s="226"/>
      <c r="B67" s="281"/>
      <c r="C67" s="279"/>
      <c r="D67" s="229"/>
      <c r="F67" s="222"/>
      <c r="G67" s="229"/>
      <c r="H67" s="238"/>
      <c r="I67" s="6"/>
    </row>
    <row r="68" spans="1:9" ht="15" x14ac:dyDescent="0.25">
      <c r="A68" s="226" t="s">
        <v>11</v>
      </c>
      <c r="B68" s="281"/>
      <c r="C68" s="279" t="s">
        <v>418</v>
      </c>
      <c r="D68" s="229"/>
      <c r="E68" s="203">
        <v>10</v>
      </c>
      <c r="F68" s="222"/>
      <c r="G68" s="229" t="s">
        <v>417</v>
      </c>
      <c r="H68" s="314"/>
      <c r="I68" s="6">
        <f>E68*H68</f>
        <v>0</v>
      </c>
    </row>
    <row r="69" spans="1:9" ht="15" x14ac:dyDescent="0.25">
      <c r="A69" s="226"/>
      <c r="B69" s="281"/>
      <c r="C69" s="279"/>
      <c r="D69" s="229"/>
      <c r="F69" s="222"/>
      <c r="G69" s="229"/>
      <c r="H69" s="315"/>
      <c r="I69" s="239"/>
    </row>
    <row r="70" spans="1:9" ht="15" x14ac:dyDescent="0.25">
      <c r="A70" s="226" t="s">
        <v>12</v>
      </c>
      <c r="B70" s="281"/>
      <c r="C70" s="279" t="s">
        <v>419</v>
      </c>
      <c r="D70" s="229"/>
      <c r="E70" s="203">
        <v>5</v>
      </c>
      <c r="F70" s="222"/>
      <c r="G70" s="229" t="s">
        <v>417</v>
      </c>
      <c r="H70" s="314"/>
      <c r="I70" s="6">
        <f>E70*H70</f>
        <v>0</v>
      </c>
    </row>
    <row r="71" spans="1:9" ht="15" x14ac:dyDescent="0.25">
      <c r="A71" s="226"/>
      <c r="B71" s="281"/>
      <c r="C71" s="279"/>
      <c r="D71" s="229"/>
      <c r="F71" s="222"/>
      <c r="G71" s="229"/>
      <c r="H71" s="315"/>
      <c r="I71" s="6"/>
    </row>
    <row r="72" spans="1:9" ht="15" x14ac:dyDescent="0.25">
      <c r="A72" s="226" t="s">
        <v>13</v>
      </c>
      <c r="B72" s="281"/>
      <c r="C72" s="279" t="s">
        <v>420</v>
      </c>
      <c r="D72" s="229"/>
      <c r="E72" s="203">
        <v>5</v>
      </c>
      <c r="F72" s="222"/>
      <c r="G72" s="229" t="s">
        <v>417</v>
      </c>
      <c r="H72" s="314"/>
      <c r="I72" s="6">
        <f>E72*H72</f>
        <v>0</v>
      </c>
    </row>
    <row r="73" spans="1:9" ht="15" x14ac:dyDescent="0.25">
      <c r="A73" s="226"/>
      <c r="B73" s="281"/>
      <c r="C73" s="279"/>
      <c r="D73" s="229"/>
      <c r="F73" s="222"/>
      <c r="G73" s="229"/>
      <c r="H73" s="316"/>
      <c r="I73" s="6"/>
    </row>
    <row r="74" spans="1:9" ht="15" x14ac:dyDescent="0.25">
      <c r="A74" s="226" t="s">
        <v>14</v>
      </c>
      <c r="B74" s="281"/>
      <c r="C74" s="279" t="s">
        <v>421</v>
      </c>
      <c r="D74" s="229"/>
      <c r="E74" s="203">
        <v>5</v>
      </c>
      <c r="F74" s="222"/>
      <c r="G74" s="229" t="s">
        <v>417</v>
      </c>
      <c r="H74" s="314"/>
      <c r="I74" s="6">
        <f>E74*H74</f>
        <v>0</v>
      </c>
    </row>
    <row r="75" spans="1:9" x14ac:dyDescent="0.2">
      <c r="A75" s="226"/>
      <c r="B75" s="281"/>
      <c r="C75" s="279"/>
      <c r="D75" s="229"/>
      <c r="F75" s="222"/>
      <c r="G75" s="229"/>
      <c r="H75" s="238"/>
      <c r="I75" s="239"/>
    </row>
    <row r="76" spans="1:9" x14ac:dyDescent="0.2">
      <c r="A76" s="226"/>
      <c r="B76" s="281"/>
      <c r="C76" s="279"/>
      <c r="D76" s="229"/>
      <c r="F76" s="222"/>
      <c r="G76" s="229"/>
      <c r="H76" s="238"/>
      <c r="I76" s="239"/>
    </row>
    <row r="77" spans="1:9" x14ac:dyDescent="0.2">
      <c r="A77" s="226"/>
      <c r="B77" s="281"/>
      <c r="C77" s="279"/>
      <c r="D77" s="229"/>
      <c r="F77" s="222"/>
      <c r="G77" s="229"/>
      <c r="H77" s="238"/>
      <c r="I77" s="239"/>
    </row>
    <row r="78" spans="1:9" x14ac:dyDescent="0.2">
      <c r="A78" s="226"/>
      <c r="B78" s="281"/>
      <c r="C78" s="279"/>
      <c r="D78" s="229"/>
      <c r="F78" s="222"/>
      <c r="G78" s="229"/>
      <c r="H78" s="238"/>
      <c r="I78" s="239"/>
    </row>
    <row r="79" spans="1:9" x14ac:dyDescent="0.2">
      <c r="A79" s="226"/>
      <c r="B79" s="281"/>
      <c r="C79" s="279"/>
      <c r="D79" s="229"/>
      <c r="F79" s="222"/>
      <c r="G79" s="229"/>
      <c r="H79" s="238"/>
      <c r="I79" s="239"/>
    </row>
    <row r="80" spans="1:9" x14ac:dyDescent="0.2">
      <c r="A80" s="226"/>
      <c r="B80" s="281"/>
      <c r="C80" s="279"/>
      <c r="D80" s="229"/>
      <c r="F80" s="222"/>
      <c r="G80" s="229"/>
      <c r="H80" s="238"/>
      <c r="I80" s="239"/>
    </row>
    <row r="81" spans="1:9" x14ac:dyDescent="0.2">
      <c r="A81" s="226"/>
      <c r="B81" s="281"/>
      <c r="C81" s="279"/>
      <c r="D81" s="229"/>
      <c r="F81" s="222"/>
      <c r="G81" s="229"/>
      <c r="H81" s="238"/>
      <c r="I81" s="239"/>
    </row>
    <row r="82" spans="1:9" x14ac:dyDescent="0.2">
      <c r="A82" s="245"/>
      <c r="B82" s="282"/>
      <c r="C82" s="283"/>
      <c r="D82" s="247"/>
      <c r="E82" s="248"/>
      <c r="F82" s="249"/>
      <c r="G82" s="245"/>
      <c r="H82" s="250"/>
      <c r="I82" s="251"/>
    </row>
    <row r="83" spans="1:9" ht="15" x14ac:dyDescent="0.25">
      <c r="A83" s="252"/>
      <c r="B83" s="253"/>
      <c r="C83" s="254"/>
      <c r="D83" s="255"/>
      <c r="E83" s="221"/>
      <c r="F83" s="253"/>
      <c r="G83" s="256"/>
      <c r="H83" s="257"/>
      <c r="I83" s="258"/>
    </row>
    <row r="84" spans="1:9" ht="15.75" thickBot="1" x14ac:dyDescent="0.3">
      <c r="A84" s="189"/>
      <c r="E84" s="259" t="s">
        <v>6</v>
      </c>
      <c r="G84" s="260"/>
      <c r="H84" s="261"/>
      <c r="I84" s="262">
        <f>SUM(I65:I83)</f>
        <v>0</v>
      </c>
    </row>
    <row r="85" spans="1:9" ht="15.75" thickTop="1" x14ac:dyDescent="0.25">
      <c r="E85" s="259"/>
      <c r="G85" s="202"/>
      <c r="H85" s="203"/>
      <c r="I85" s="263"/>
    </row>
    <row r="86" spans="1:9" x14ac:dyDescent="0.2">
      <c r="A86" s="248"/>
      <c r="B86" s="246"/>
      <c r="C86" s="246"/>
      <c r="D86" s="248"/>
      <c r="E86" s="248"/>
      <c r="F86" s="246"/>
      <c r="G86" s="248"/>
      <c r="H86" s="264"/>
      <c r="I86" s="265"/>
    </row>
    <row r="87" spans="1:9" ht="15" x14ac:dyDescent="0.25">
      <c r="A87" s="266"/>
      <c r="B87" s="267"/>
      <c r="C87" s="267"/>
      <c r="D87" s="268"/>
      <c r="E87" s="269"/>
      <c r="F87" s="270"/>
      <c r="G87" s="271"/>
      <c r="H87" s="272" t="s">
        <v>2</v>
      </c>
      <c r="I87" s="273"/>
    </row>
    <row r="88" spans="1:9" ht="15" x14ac:dyDescent="0.25">
      <c r="A88" s="210"/>
      <c r="B88" s="211"/>
      <c r="C88" s="211" t="s">
        <v>0</v>
      </c>
      <c r="D88" s="212"/>
      <c r="E88" s="213" t="s">
        <v>3</v>
      </c>
      <c r="F88" s="214"/>
      <c r="G88" s="212" t="s">
        <v>1</v>
      </c>
      <c r="H88" s="215" t="s">
        <v>404</v>
      </c>
      <c r="I88" s="216" t="s">
        <v>402</v>
      </c>
    </row>
    <row r="89" spans="1:9" ht="15" x14ac:dyDescent="0.25">
      <c r="A89" s="218"/>
      <c r="C89" s="219"/>
      <c r="D89" s="220"/>
      <c r="E89" s="221"/>
      <c r="F89" s="222"/>
      <c r="G89" s="223"/>
      <c r="H89" s="224"/>
      <c r="I89" s="225"/>
    </row>
    <row r="90" spans="1:9" x14ac:dyDescent="0.2">
      <c r="A90" s="226"/>
      <c r="B90" s="232"/>
      <c r="C90" s="227" t="s">
        <v>422</v>
      </c>
      <c r="D90" s="228"/>
      <c r="F90" s="222"/>
      <c r="G90" s="229"/>
      <c r="I90" s="231"/>
    </row>
    <row r="91" spans="1:9" x14ac:dyDescent="0.2">
      <c r="A91" s="226"/>
      <c r="B91" s="232"/>
      <c r="C91" s="284"/>
      <c r="D91" s="228"/>
      <c r="F91" s="222"/>
      <c r="G91" s="229"/>
      <c r="I91" s="231"/>
    </row>
    <row r="92" spans="1:9" x14ac:dyDescent="0.2">
      <c r="A92" s="226"/>
      <c r="B92" s="232"/>
      <c r="C92" s="232"/>
      <c r="D92" s="237"/>
      <c r="F92" s="222"/>
      <c r="G92" s="229"/>
      <c r="I92" s="231"/>
    </row>
    <row r="93" spans="1:9" x14ac:dyDescent="0.2">
      <c r="A93" s="226"/>
      <c r="B93" s="232"/>
      <c r="C93" s="232"/>
      <c r="D93" s="237"/>
      <c r="F93" s="222"/>
      <c r="G93" s="229"/>
      <c r="I93" s="231"/>
    </row>
    <row r="94" spans="1:9" x14ac:dyDescent="0.2">
      <c r="A94" s="226" t="s">
        <v>9</v>
      </c>
      <c r="C94" s="232" t="s">
        <v>423</v>
      </c>
      <c r="D94" s="237"/>
      <c r="F94" s="222"/>
      <c r="G94" s="229"/>
      <c r="I94" s="231"/>
    </row>
    <row r="95" spans="1:9" x14ac:dyDescent="0.2">
      <c r="A95" s="226"/>
      <c r="C95" s="232" t="s">
        <v>424</v>
      </c>
      <c r="D95" s="237"/>
      <c r="F95" s="222"/>
      <c r="G95" s="229"/>
      <c r="H95" s="238"/>
      <c r="I95" s="231"/>
    </row>
    <row r="96" spans="1:9" ht="15" x14ac:dyDescent="0.2">
      <c r="A96" s="226"/>
      <c r="C96" s="232" t="s">
        <v>425</v>
      </c>
      <c r="D96" s="237"/>
      <c r="F96" s="222"/>
      <c r="G96" s="229" t="s">
        <v>403</v>
      </c>
      <c r="H96" s="238"/>
      <c r="I96" s="186"/>
    </row>
    <row r="97" spans="1:9" x14ac:dyDescent="0.2">
      <c r="A97" s="226"/>
      <c r="B97" s="232"/>
      <c r="C97" s="232"/>
      <c r="D97" s="237"/>
      <c r="F97" s="222"/>
      <c r="G97" s="229"/>
      <c r="H97" s="238"/>
      <c r="I97" s="231"/>
    </row>
    <row r="98" spans="1:9" x14ac:dyDescent="0.2">
      <c r="A98" s="226"/>
      <c r="B98" s="232"/>
      <c r="C98" s="232"/>
      <c r="D98" s="237"/>
      <c r="F98" s="222"/>
      <c r="G98" s="229"/>
      <c r="H98" s="238"/>
      <c r="I98" s="231"/>
    </row>
    <row r="99" spans="1:9" x14ac:dyDescent="0.2">
      <c r="A99" s="226" t="s">
        <v>10</v>
      </c>
      <c r="C99" s="232" t="s">
        <v>426</v>
      </c>
      <c r="D99" s="237"/>
      <c r="F99" s="222"/>
      <c r="G99" s="229"/>
      <c r="H99" s="238"/>
      <c r="I99" s="239"/>
    </row>
    <row r="100" spans="1:9" x14ac:dyDescent="0.2">
      <c r="A100" s="226"/>
      <c r="C100" s="232" t="s">
        <v>427</v>
      </c>
      <c r="D100" s="237"/>
      <c r="F100" s="222"/>
      <c r="G100" s="229"/>
      <c r="H100" s="238"/>
      <c r="I100" s="239"/>
    </row>
    <row r="101" spans="1:9" x14ac:dyDescent="0.2">
      <c r="A101" s="226"/>
      <c r="C101" s="232" t="s">
        <v>428</v>
      </c>
      <c r="D101" s="237"/>
      <c r="F101" s="222"/>
      <c r="G101" s="229"/>
      <c r="H101" s="238"/>
      <c r="I101" s="239"/>
    </row>
    <row r="102" spans="1:9" x14ac:dyDescent="0.2">
      <c r="A102" s="226"/>
      <c r="C102" s="232" t="s">
        <v>429</v>
      </c>
      <c r="D102" s="237"/>
      <c r="F102" s="222"/>
      <c r="G102" s="229"/>
      <c r="H102" s="238"/>
      <c r="I102" s="239"/>
    </row>
    <row r="103" spans="1:9" x14ac:dyDescent="0.2">
      <c r="A103" s="226"/>
      <c r="C103" s="232" t="s">
        <v>430</v>
      </c>
      <c r="D103" s="237"/>
      <c r="F103" s="222"/>
      <c r="G103" s="229"/>
      <c r="H103" s="238"/>
      <c r="I103" s="239"/>
    </row>
    <row r="104" spans="1:9" x14ac:dyDescent="0.2">
      <c r="A104" s="226"/>
      <c r="C104" s="232" t="s">
        <v>431</v>
      </c>
      <c r="D104" s="237"/>
      <c r="F104" s="222"/>
      <c r="G104" s="229"/>
      <c r="H104" s="238"/>
      <c r="I104" s="239"/>
    </row>
    <row r="105" spans="1:9" x14ac:dyDescent="0.2">
      <c r="A105" s="226"/>
      <c r="C105" s="232" t="s">
        <v>432</v>
      </c>
      <c r="D105" s="237"/>
      <c r="F105" s="222"/>
      <c r="G105" s="229"/>
      <c r="H105" s="238"/>
      <c r="I105" s="239"/>
    </row>
    <row r="106" spans="1:9" x14ac:dyDescent="0.2">
      <c r="A106" s="226"/>
      <c r="C106" s="232" t="s">
        <v>433</v>
      </c>
      <c r="D106" s="237"/>
      <c r="F106" s="222"/>
      <c r="G106" s="229"/>
      <c r="H106" s="238"/>
      <c r="I106" s="239"/>
    </row>
    <row r="107" spans="1:9" x14ac:dyDescent="0.2">
      <c r="A107" s="226"/>
      <c r="C107" s="232" t="s">
        <v>434</v>
      </c>
      <c r="D107" s="237"/>
      <c r="F107" s="222"/>
      <c r="G107" s="229"/>
      <c r="H107" s="238"/>
      <c r="I107" s="239"/>
    </row>
    <row r="108" spans="1:9" x14ac:dyDescent="0.2">
      <c r="A108" s="226"/>
      <c r="B108" s="232"/>
      <c r="C108" s="232"/>
      <c r="D108" s="237"/>
      <c r="F108" s="222"/>
      <c r="G108" s="229"/>
      <c r="H108" s="238"/>
      <c r="I108" s="239"/>
    </row>
    <row r="109" spans="1:9" x14ac:dyDescent="0.2">
      <c r="A109" s="226"/>
      <c r="B109" s="232"/>
      <c r="C109" s="232"/>
      <c r="D109" s="237"/>
      <c r="F109" s="222"/>
      <c r="G109" s="229"/>
      <c r="H109" s="238"/>
      <c r="I109" s="239"/>
    </row>
    <row r="110" spans="1:9" x14ac:dyDescent="0.2">
      <c r="A110" s="226" t="s">
        <v>11</v>
      </c>
      <c r="C110" s="232" t="s">
        <v>435</v>
      </c>
      <c r="D110" s="237"/>
      <c r="F110" s="222"/>
      <c r="G110" s="229"/>
      <c r="H110" s="238"/>
      <c r="I110" s="239"/>
    </row>
    <row r="111" spans="1:9" x14ac:dyDescent="0.2">
      <c r="A111" s="226"/>
      <c r="C111" s="232" t="s">
        <v>436</v>
      </c>
      <c r="D111" s="237"/>
      <c r="F111" s="222"/>
      <c r="G111" s="229"/>
      <c r="H111" s="238"/>
      <c r="I111" s="239"/>
    </row>
    <row r="112" spans="1:9" x14ac:dyDescent="0.2">
      <c r="A112" s="226"/>
      <c r="C112" s="232" t="s">
        <v>437</v>
      </c>
      <c r="D112" s="237"/>
      <c r="F112" s="222"/>
      <c r="G112" s="229"/>
      <c r="H112" s="238"/>
      <c r="I112" s="239"/>
    </row>
    <row r="113" spans="1:9" x14ac:dyDescent="0.2">
      <c r="A113" s="226"/>
      <c r="C113" s="232" t="s">
        <v>438</v>
      </c>
      <c r="D113" s="237"/>
      <c r="F113" s="222"/>
      <c r="G113" s="229"/>
      <c r="H113" s="238"/>
      <c r="I113" s="239"/>
    </row>
    <row r="114" spans="1:9" x14ac:dyDescent="0.2">
      <c r="A114" s="226"/>
      <c r="C114" s="232" t="s">
        <v>439</v>
      </c>
      <c r="D114" s="237"/>
      <c r="F114" s="222"/>
      <c r="G114" s="229"/>
      <c r="H114" s="238"/>
      <c r="I114" s="239"/>
    </row>
    <row r="115" spans="1:9" x14ac:dyDescent="0.2">
      <c r="A115" s="226"/>
      <c r="C115" s="232" t="s">
        <v>440</v>
      </c>
      <c r="D115" s="237"/>
      <c r="F115" s="222"/>
      <c r="G115" s="229"/>
      <c r="H115" s="238"/>
      <c r="I115" s="239"/>
    </row>
    <row r="116" spans="1:9" x14ac:dyDescent="0.2">
      <c r="A116" s="226"/>
      <c r="B116" s="232"/>
      <c r="C116" s="232"/>
      <c r="D116" s="237"/>
      <c r="F116" s="222"/>
      <c r="G116" s="229"/>
      <c r="H116" s="238"/>
      <c r="I116" s="239"/>
    </row>
    <row r="117" spans="1:9" x14ac:dyDescent="0.2">
      <c r="A117" s="226"/>
      <c r="B117" s="277"/>
      <c r="C117" s="232"/>
      <c r="D117" s="237"/>
      <c r="F117" s="222"/>
      <c r="G117" s="229"/>
      <c r="H117" s="238"/>
      <c r="I117" s="239"/>
    </row>
    <row r="118" spans="1:9" x14ac:dyDescent="0.2">
      <c r="A118" s="226"/>
      <c r="B118" s="285"/>
      <c r="C118" s="449" t="s">
        <v>955</v>
      </c>
      <c r="D118" s="286"/>
      <c r="E118" s="287"/>
      <c r="F118" s="288"/>
      <c r="G118" s="289"/>
      <c r="H118" s="290"/>
      <c r="I118" s="291"/>
    </row>
    <row r="119" spans="1:9" x14ac:dyDescent="0.2">
      <c r="A119" s="226"/>
      <c r="B119" s="232"/>
      <c r="C119" s="232"/>
      <c r="D119" s="237"/>
      <c r="F119" s="222"/>
      <c r="G119" s="229"/>
      <c r="H119" s="238"/>
      <c r="I119" s="239"/>
    </row>
    <row r="120" spans="1:9" x14ac:dyDescent="0.2">
      <c r="A120" s="226"/>
      <c r="B120" s="232"/>
      <c r="C120" s="232"/>
      <c r="D120" s="237"/>
      <c r="F120" s="222"/>
      <c r="G120" s="229"/>
      <c r="H120" s="238"/>
      <c r="I120" s="239"/>
    </row>
    <row r="121" spans="1:9" x14ac:dyDescent="0.2">
      <c r="A121" s="226"/>
      <c r="B121" s="232"/>
      <c r="C121" s="232"/>
      <c r="D121" s="237"/>
      <c r="F121" s="222"/>
      <c r="G121" s="229"/>
      <c r="H121" s="238"/>
      <c r="I121" s="239"/>
    </row>
    <row r="122" spans="1:9" x14ac:dyDescent="0.2">
      <c r="A122" s="226"/>
      <c r="B122" s="232"/>
      <c r="C122" s="232"/>
      <c r="D122" s="237"/>
      <c r="F122" s="222"/>
      <c r="G122" s="229"/>
      <c r="H122" s="238"/>
      <c r="I122" s="239"/>
    </row>
    <row r="123" spans="1:9" x14ac:dyDescent="0.2">
      <c r="A123" s="226"/>
      <c r="B123" s="232"/>
      <c r="C123" s="232"/>
      <c r="D123" s="237"/>
      <c r="F123" s="222"/>
      <c r="G123" s="229"/>
      <c r="H123" s="238"/>
      <c r="I123" s="239"/>
    </row>
    <row r="124" spans="1:9" x14ac:dyDescent="0.2">
      <c r="A124" s="226"/>
      <c r="B124" s="232"/>
      <c r="C124" s="232"/>
      <c r="D124" s="237"/>
      <c r="F124" s="222"/>
      <c r="G124" s="229"/>
      <c r="H124" s="238"/>
      <c r="I124" s="239"/>
    </row>
    <row r="125" spans="1:9" x14ac:dyDescent="0.2">
      <c r="A125" s="226"/>
      <c r="B125" s="232"/>
      <c r="C125" s="232"/>
      <c r="D125" s="237"/>
      <c r="F125" s="222"/>
      <c r="G125" s="229"/>
      <c r="H125" s="238"/>
      <c r="I125" s="239"/>
    </row>
    <row r="126" spans="1:9" x14ac:dyDescent="0.2">
      <c r="A126" s="226"/>
      <c r="B126" s="232"/>
      <c r="C126" s="232"/>
      <c r="D126" s="237"/>
      <c r="F126" s="222"/>
      <c r="G126" s="229"/>
      <c r="H126" s="238"/>
      <c r="I126" s="239"/>
    </row>
    <row r="127" spans="1:9" x14ac:dyDescent="0.2">
      <c r="A127" s="226"/>
      <c r="B127" s="232"/>
      <c r="C127" s="232"/>
      <c r="D127" s="237"/>
      <c r="F127" s="222"/>
      <c r="G127" s="229"/>
      <c r="H127" s="238"/>
      <c r="I127" s="239"/>
    </row>
    <row r="128" spans="1:9" x14ac:dyDescent="0.2">
      <c r="A128" s="226"/>
      <c r="B128" s="232"/>
      <c r="C128" s="232"/>
      <c r="D128" s="237"/>
      <c r="F128" s="222"/>
      <c r="G128" s="229"/>
      <c r="H128" s="238"/>
      <c r="I128" s="239"/>
    </row>
    <row r="129" spans="1:9" x14ac:dyDescent="0.2">
      <c r="A129" s="226"/>
      <c r="B129" s="232"/>
      <c r="C129" s="232"/>
      <c r="D129" s="237"/>
      <c r="F129" s="222"/>
      <c r="G129" s="229"/>
      <c r="H129" s="238"/>
      <c r="I129" s="239"/>
    </row>
    <row r="130" spans="1:9" x14ac:dyDescent="0.2">
      <c r="A130" s="226"/>
      <c r="B130" s="232"/>
      <c r="C130" s="232"/>
      <c r="D130" s="237"/>
      <c r="F130" s="222"/>
      <c r="G130" s="229"/>
      <c r="H130" s="238"/>
      <c r="I130" s="239"/>
    </row>
    <row r="131" spans="1:9" x14ac:dyDescent="0.2">
      <c r="A131" s="226"/>
      <c r="B131" s="232"/>
      <c r="C131" s="232"/>
      <c r="D131" s="237"/>
      <c r="F131" s="222"/>
      <c r="G131" s="229"/>
      <c r="H131" s="238"/>
      <c r="I131" s="239"/>
    </row>
    <row r="132" spans="1:9" x14ac:dyDescent="0.2">
      <c r="A132" s="226"/>
      <c r="B132" s="232"/>
      <c r="C132" s="232"/>
      <c r="D132" s="237"/>
      <c r="F132" s="222"/>
      <c r="G132" s="229"/>
      <c r="H132" s="238"/>
      <c r="I132" s="239"/>
    </row>
    <row r="133" spans="1:9" x14ac:dyDescent="0.2">
      <c r="A133" s="226"/>
      <c r="B133" s="232"/>
      <c r="C133" s="232"/>
      <c r="D133" s="237"/>
      <c r="F133" s="222"/>
      <c r="G133" s="229"/>
      <c r="H133" s="238"/>
      <c r="I133" s="239"/>
    </row>
    <row r="134" spans="1:9" x14ac:dyDescent="0.2">
      <c r="A134" s="226"/>
      <c r="B134" s="232"/>
      <c r="C134" s="232"/>
      <c r="D134" s="237"/>
      <c r="F134" s="222"/>
      <c r="G134" s="229"/>
      <c r="H134" s="238"/>
      <c r="I134" s="239"/>
    </row>
    <row r="135" spans="1:9" x14ac:dyDescent="0.2">
      <c r="A135" s="226"/>
      <c r="B135" s="232"/>
      <c r="C135" s="232"/>
      <c r="D135" s="237"/>
      <c r="F135" s="222"/>
      <c r="G135" s="229"/>
      <c r="H135" s="238"/>
      <c r="I135" s="239"/>
    </row>
    <row r="136" spans="1:9" x14ac:dyDescent="0.2">
      <c r="A136" s="226"/>
      <c r="B136" s="232"/>
      <c r="C136" s="232"/>
      <c r="D136" s="237"/>
      <c r="F136" s="222"/>
      <c r="G136" s="229"/>
      <c r="H136" s="238"/>
      <c r="I136" s="239"/>
    </row>
    <row r="137" spans="1:9" x14ac:dyDescent="0.2">
      <c r="A137" s="245"/>
      <c r="B137" s="292"/>
      <c r="C137" s="292"/>
      <c r="D137" s="293"/>
      <c r="E137" s="248"/>
      <c r="F137" s="249"/>
      <c r="G137" s="245"/>
      <c r="H137" s="250"/>
      <c r="I137" s="251"/>
    </row>
    <row r="138" spans="1:9" ht="15" x14ac:dyDescent="0.25">
      <c r="A138" s="252"/>
      <c r="B138" s="253"/>
      <c r="C138" s="254"/>
      <c r="D138" s="255"/>
      <c r="E138" s="221"/>
      <c r="F138" s="253"/>
      <c r="G138" s="256"/>
      <c r="H138" s="257"/>
      <c r="I138" s="258"/>
    </row>
    <row r="139" spans="1:9" ht="15.75" thickBot="1" x14ac:dyDescent="0.3">
      <c r="A139" s="189"/>
      <c r="E139" s="259" t="s">
        <v>6</v>
      </c>
      <c r="G139" s="260"/>
      <c r="H139" s="261"/>
      <c r="I139" s="262">
        <f>SUM(I95:I138)</f>
        <v>0</v>
      </c>
    </row>
    <row r="140" spans="1:9" ht="15.75" thickTop="1" x14ac:dyDescent="0.25">
      <c r="E140" s="259"/>
      <c r="G140" s="202"/>
      <c r="H140" s="203"/>
      <c r="I140" s="263"/>
    </row>
    <row r="141" spans="1:9" x14ac:dyDescent="0.2">
      <c r="A141" s="248"/>
      <c r="B141" s="246"/>
      <c r="C141" s="246"/>
      <c r="D141" s="248"/>
      <c r="E141" s="248"/>
      <c r="F141" s="246"/>
      <c r="G141" s="248"/>
      <c r="H141" s="264"/>
      <c r="I141" s="265"/>
    </row>
    <row r="142" spans="1:9" ht="15" x14ac:dyDescent="0.25">
      <c r="A142" s="266"/>
      <c r="B142" s="267"/>
      <c r="C142" s="267"/>
      <c r="D142" s="268"/>
      <c r="E142" s="269"/>
      <c r="F142" s="270"/>
      <c r="G142" s="271"/>
      <c r="H142" s="272" t="s">
        <v>2</v>
      </c>
      <c r="I142" s="273"/>
    </row>
    <row r="143" spans="1:9" ht="15" x14ac:dyDescent="0.25">
      <c r="A143" s="210"/>
      <c r="B143" s="211"/>
      <c r="C143" s="211" t="s">
        <v>0</v>
      </c>
      <c r="D143" s="212"/>
      <c r="E143" s="213" t="s">
        <v>3</v>
      </c>
      <c r="F143" s="214"/>
      <c r="G143" s="212" t="s">
        <v>1</v>
      </c>
      <c r="H143" s="215" t="s">
        <v>404</v>
      </c>
      <c r="I143" s="216" t="s">
        <v>402</v>
      </c>
    </row>
    <row r="144" spans="1:9" ht="15" x14ac:dyDescent="0.25">
      <c r="A144" s="218"/>
      <c r="C144" s="219"/>
      <c r="D144" s="220"/>
      <c r="E144" s="221"/>
      <c r="F144" s="222"/>
      <c r="G144" s="223"/>
      <c r="H144" s="224"/>
      <c r="I144" s="225"/>
    </row>
    <row r="145" spans="1:9" ht="15" x14ac:dyDescent="0.25">
      <c r="A145" s="226"/>
      <c r="B145" s="227"/>
      <c r="C145" s="227" t="s">
        <v>441</v>
      </c>
      <c r="D145" s="276"/>
      <c r="F145" s="222"/>
      <c r="G145" s="229"/>
      <c r="I145" s="231"/>
    </row>
    <row r="146" spans="1:9" ht="15" x14ac:dyDescent="0.25">
      <c r="A146" s="226"/>
      <c r="C146" s="219"/>
      <c r="D146" s="276"/>
      <c r="F146" s="222"/>
      <c r="G146" s="229"/>
      <c r="I146" s="231"/>
    </row>
    <row r="147" spans="1:9" ht="15" x14ac:dyDescent="0.25">
      <c r="A147" s="226" t="s">
        <v>9</v>
      </c>
      <c r="C147" s="232" t="s">
        <v>442</v>
      </c>
      <c r="D147" s="276"/>
      <c r="F147" s="222"/>
      <c r="G147" s="229"/>
      <c r="I147" s="231"/>
    </row>
    <row r="148" spans="1:9" ht="15" x14ac:dyDescent="0.25">
      <c r="A148" s="226"/>
      <c r="C148" s="232" t="s">
        <v>443</v>
      </c>
      <c r="D148" s="276"/>
      <c r="F148" s="222"/>
      <c r="G148" s="229"/>
      <c r="I148" s="231"/>
    </row>
    <row r="149" spans="1:9" x14ac:dyDescent="0.2">
      <c r="A149" s="226"/>
      <c r="C149" s="232" t="s">
        <v>444</v>
      </c>
      <c r="D149" s="229"/>
      <c r="F149" s="222"/>
      <c r="G149" s="229"/>
      <c r="I149" s="231"/>
    </row>
    <row r="150" spans="1:9" x14ac:dyDescent="0.2">
      <c r="A150" s="226"/>
      <c r="C150" s="232" t="s">
        <v>445</v>
      </c>
      <c r="D150" s="229"/>
      <c r="F150" s="222"/>
      <c r="G150" s="229"/>
      <c r="I150" s="231"/>
    </row>
    <row r="151" spans="1:9" x14ac:dyDescent="0.2">
      <c r="A151" s="226"/>
      <c r="C151" s="232" t="s">
        <v>446</v>
      </c>
      <c r="D151" s="229"/>
      <c r="F151" s="222"/>
      <c r="G151" s="229"/>
      <c r="I151" s="231"/>
    </row>
    <row r="152" spans="1:9" x14ac:dyDescent="0.2">
      <c r="A152" s="226"/>
      <c r="C152" s="232" t="s">
        <v>447</v>
      </c>
      <c r="D152" s="229"/>
      <c r="F152" s="222"/>
      <c r="G152" s="229"/>
      <c r="H152" s="238"/>
      <c r="I152" s="231"/>
    </row>
    <row r="153" spans="1:9" x14ac:dyDescent="0.2">
      <c r="A153" s="226"/>
      <c r="C153" s="232" t="s">
        <v>448</v>
      </c>
      <c r="D153" s="229"/>
      <c r="F153" s="222"/>
      <c r="G153" s="229"/>
      <c r="H153" s="238"/>
      <c r="I153" s="231"/>
    </row>
    <row r="154" spans="1:9" x14ac:dyDescent="0.2">
      <c r="A154" s="226"/>
      <c r="C154" s="232" t="s">
        <v>449</v>
      </c>
      <c r="D154" s="229"/>
      <c r="F154" s="222"/>
      <c r="G154" s="229"/>
      <c r="H154" s="238"/>
      <c r="I154" s="231"/>
    </row>
    <row r="155" spans="1:9" x14ac:dyDescent="0.2">
      <c r="A155" s="226"/>
      <c r="C155" s="232" t="s">
        <v>450</v>
      </c>
      <c r="D155" s="229"/>
      <c r="F155" s="222"/>
      <c r="G155" s="229"/>
      <c r="H155" s="238"/>
      <c r="I155" s="231"/>
    </row>
    <row r="156" spans="1:9" x14ac:dyDescent="0.2">
      <c r="A156" s="226"/>
      <c r="C156" s="232" t="s">
        <v>451</v>
      </c>
      <c r="D156" s="229"/>
      <c r="F156" s="222"/>
      <c r="G156" s="229"/>
      <c r="H156" s="238"/>
      <c r="I156" s="239"/>
    </row>
    <row r="157" spans="1:9" x14ac:dyDescent="0.2">
      <c r="A157" s="226"/>
      <c r="B157" s="232"/>
      <c r="C157" s="232"/>
      <c r="D157" s="229"/>
      <c r="F157" s="222"/>
      <c r="G157" s="229"/>
      <c r="H157" s="238"/>
      <c r="I157" s="239"/>
    </row>
    <row r="158" spans="1:9" x14ac:dyDescent="0.2">
      <c r="A158" s="226" t="s">
        <v>10</v>
      </c>
      <c r="C158" s="232" t="s">
        <v>452</v>
      </c>
      <c r="D158" s="229"/>
      <c r="F158" s="222"/>
      <c r="G158" s="229"/>
      <c r="H158" s="238"/>
      <c r="I158" s="239"/>
    </row>
    <row r="159" spans="1:9" x14ac:dyDescent="0.2">
      <c r="A159" s="226"/>
      <c r="C159" s="240" t="s">
        <v>453</v>
      </c>
      <c r="D159" s="229"/>
      <c r="F159" s="222"/>
      <c r="G159" s="229"/>
      <c r="H159" s="238"/>
      <c r="I159" s="239"/>
    </row>
    <row r="160" spans="1:9" x14ac:dyDescent="0.2">
      <c r="A160" s="226"/>
      <c r="C160" s="232" t="s">
        <v>454</v>
      </c>
      <c r="D160" s="229"/>
      <c r="F160" s="222"/>
      <c r="G160" s="229"/>
      <c r="H160" s="238"/>
      <c r="I160" s="239"/>
    </row>
    <row r="161" spans="1:9" x14ac:dyDescent="0.2">
      <c r="A161" s="226"/>
      <c r="C161" s="232" t="s">
        <v>455</v>
      </c>
      <c r="D161" s="229"/>
      <c r="F161" s="222"/>
      <c r="G161" s="229"/>
      <c r="H161" s="238"/>
      <c r="I161" s="239"/>
    </row>
    <row r="162" spans="1:9" x14ac:dyDescent="0.2">
      <c r="A162" s="226"/>
      <c r="C162" s="232"/>
      <c r="D162" s="229"/>
      <c r="F162" s="222"/>
      <c r="G162" s="229"/>
      <c r="H162" s="238"/>
      <c r="I162" s="239"/>
    </row>
    <row r="163" spans="1:9" x14ac:dyDescent="0.2">
      <c r="A163" s="226"/>
      <c r="C163" s="448" t="s">
        <v>456</v>
      </c>
      <c r="D163" s="229"/>
      <c r="F163" s="222"/>
      <c r="G163" s="229"/>
      <c r="H163" s="238"/>
      <c r="I163" s="239"/>
    </row>
    <row r="164" spans="1:9" x14ac:dyDescent="0.2">
      <c r="A164" s="226"/>
      <c r="C164" s="448" t="s">
        <v>457</v>
      </c>
      <c r="D164" s="229"/>
      <c r="F164" s="222"/>
      <c r="G164" s="229"/>
      <c r="H164" s="238"/>
      <c r="I164" s="239"/>
    </row>
    <row r="165" spans="1:9" x14ac:dyDescent="0.2">
      <c r="A165" s="226"/>
      <c r="D165" s="229"/>
      <c r="F165" s="222"/>
      <c r="G165" s="229"/>
      <c r="H165" s="238"/>
      <c r="I165" s="239"/>
    </row>
    <row r="166" spans="1:9" ht="15" x14ac:dyDescent="0.25">
      <c r="A166" s="226" t="s">
        <v>11</v>
      </c>
      <c r="C166" s="202" t="s">
        <v>458</v>
      </c>
      <c r="D166" s="229"/>
      <c r="E166" s="203">
        <v>5</v>
      </c>
      <c r="F166" s="222"/>
      <c r="G166" s="229" t="s">
        <v>417</v>
      </c>
      <c r="H166" s="314"/>
      <c r="I166" s="6">
        <f t="shared" ref="I166:I185" si="0">E166*H166</f>
        <v>0</v>
      </c>
    </row>
    <row r="167" spans="1:9" ht="15" x14ac:dyDescent="0.25">
      <c r="A167" s="226"/>
      <c r="D167" s="229"/>
      <c r="F167" s="222"/>
      <c r="G167" s="229"/>
      <c r="H167" s="128"/>
      <c r="I167" s="6"/>
    </row>
    <row r="168" spans="1:9" ht="15" x14ac:dyDescent="0.25">
      <c r="A168" s="226" t="s">
        <v>12</v>
      </c>
      <c r="C168" s="202" t="s">
        <v>459</v>
      </c>
      <c r="D168" s="229"/>
      <c r="E168" s="203">
        <v>5</v>
      </c>
      <c r="F168" s="222"/>
      <c r="G168" s="229" t="s">
        <v>417</v>
      </c>
      <c r="H168" s="314"/>
      <c r="I168" s="6">
        <f t="shared" si="0"/>
        <v>0</v>
      </c>
    </row>
    <row r="169" spans="1:9" ht="15" x14ac:dyDescent="0.25">
      <c r="A169" s="226"/>
      <c r="D169" s="229"/>
      <c r="F169" s="222"/>
      <c r="G169" s="229"/>
      <c r="H169" s="128"/>
      <c r="I169" s="6"/>
    </row>
    <row r="170" spans="1:9" ht="15" x14ac:dyDescent="0.25">
      <c r="A170" s="226" t="s">
        <v>13</v>
      </c>
      <c r="C170" s="202" t="s">
        <v>460</v>
      </c>
      <c r="D170" s="229"/>
      <c r="E170" s="203">
        <v>5</v>
      </c>
      <c r="F170" s="222"/>
      <c r="G170" s="229" t="s">
        <v>417</v>
      </c>
      <c r="H170" s="314"/>
      <c r="I170" s="6">
        <f t="shared" si="0"/>
        <v>0</v>
      </c>
    </row>
    <row r="171" spans="1:9" ht="15" x14ac:dyDescent="0.25">
      <c r="A171" s="226"/>
      <c r="D171" s="229"/>
      <c r="F171" s="222"/>
      <c r="G171" s="229"/>
      <c r="H171" s="128"/>
      <c r="I171" s="6"/>
    </row>
    <row r="172" spans="1:9" ht="15" x14ac:dyDescent="0.25">
      <c r="A172" s="226" t="s">
        <v>14</v>
      </c>
      <c r="C172" s="202" t="s">
        <v>461</v>
      </c>
      <c r="D172" s="229"/>
      <c r="E172" s="203">
        <v>5</v>
      </c>
      <c r="F172" s="222"/>
      <c r="G172" s="229" t="s">
        <v>417</v>
      </c>
      <c r="H172" s="314"/>
      <c r="I172" s="6">
        <f t="shared" si="0"/>
        <v>0</v>
      </c>
    </row>
    <row r="173" spans="1:9" ht="15" x14ac:dyDescent="0.25">
      <c r="A173" s="226"/>
      <c r="D173" s="229"/>
      <c r="F173" s="222"/>
      <c r="G173" s="229"/>
      <c r="H173" s="128"/>
      <c r="I173" s="6"/>
    </row>
    <row r="174" spans="1:9" ht="15" x14ac:dyDescent="0.25">
      <c r="A174" s="226" t="s">
        <v>15</v>
      </c>
      <c r="C174" s="202" t="s">
        <v>462</v>
      </c>
      <c r="D174" s="229"/>
      <c r="F174" s="222"/>
      <c r="G174" s="229"/>
      <c r="H174" s="128"/>
      <c r="I174" s="6"/>
    </row>
    <row r="175" spans="1:9" ht="15" x14ac:dyDescent="0.25">
      <c r="A175" s="226"/>
      <c r="C175" s="202" t="s">
        <v>463</v>
      </c>
      <c r="D175" s="229"/>
      <c r="E175" s="203">
        <v>5</v>
      </c>
      <c r="F175" s="222"/>
      <c r="G175" s="229" t="s">
        <v>417</v>
      </c>
      <c r="H175" s="314"/>
      <c r="I175" s="6">
        <f t="shared" si="0"/>
        <v>0</v>
      </c>
    </row>
    <row r="176" spans="1:9" ht="15" x14ac:dyDescent="0.25">
      <c r="A176" s="226"/>
      <c r="D176" s="229"/>
      <c r="F176" s="222"/>
      <c r="G176" s="229"/>
      <c r="H176" s="128"/>
      <c r="I176" s="6"/>
    </row>
    <row r="177" spans="1:9" ht="15" x14ac:dyDescent="0.25">
      <c r="A177" s="226" t="s">
        <v>16</v>
      </c>
      <c r="C177" s="202" t="s">
        <v>464</v>
      </c>
      <c r="D177" s="229"/>
      <c r="E177" s="203">
        <v>5</v>
      </c>
      <c r="F177" s="222"/>
      <c r="G177" s="229" t="s">
        <v>417</v>
      </c>
      <c r="H177" s="314"/>
      <c r="I177" s="6">
        <f t="shared" si="0"/>
        <v>0</v>
      </c>
    </row>
    <row r="178" spans="1:9" ht="15" x14ac:dyDescent="0.25">
      <c r="A178" s="226"/>
      <c r="D178" s="229"/>
      <c r="F178" s="222"/>
      <c r="G178" s="229"/>
      <c r="H178" s="128"/>
      <c r="I178" s="6"/>
    </row>
    <row r="179" spans="1:9" ht="15" x14ac:dyDescent="0.25">
      <c r="A179" s="226" t="s">
        <v>17</v>
      </c>
      <c r="C179" s="202" t="s">
        <v>465</v>
      </c>
      <c r="D179" s="229"/>
      <c r="E179" s="203">
        <v>5</v>
      </c>
      <c r="F179" s="222"/>
      <c r="G179" s="229" t="s">
        <v>417</v>
      </c>
      <c r="H179" s="314"/>
      <c r="I179" s="6">
        <f t="shared" si="0"/>
        <v>0</v>
      </c>
    </row>
    <row r="180" spans="1:9" ht="15" x14ac:dyDescent="0.25">
      <c r="A180" s="226"/>
      <c r="D180" s="229"/>
      <c r="F180" s="222"/>
      <c r="G180" s="229"/>
      <c r="H180" s="128"/>
      <c r="I180" s="6"/>
    </row>
    <row r="181" spans="1:9" ht="15" x14ac:dyDescent="0.25">
      <c r="A181" s="226" t="s">
        <v>18</v>
      </c>
      <c r="C181" s="202" t="s">
        <v>466</v>
      </c>
      <c r="D181" s="229"/>
      <c r="E181" s="203">
        <v>5</v>
      </c>
      <c r="F181" s="222"/>
      <c r="G181" s="229" t="s">
        <v>417</v>
      </c>
      <c r="H181" s="314"/>
      <c r="I181" s="6">
        <f t="shared" si="0"/>
        <v>0</v>
      </c>
    </row>
    <row r="182" spans="1:9" ht="15" x14ac:dyDescent="0.25">
      <c r="A182" s="226"/>
      <c r="D182" s="229"/>
      <c r="F182" s="222"/>
      <c r="G182" s="229"/>
      <c r="H182" s="128"/>
      <c r="I182" s="6"/>
    </row>
    <row r="183" spans="1:9" ht="15" x14ac:dyDescent="0.25">
      <c r="A183" s="226" t="s">
        <v>19</v>
      </c>
      <c r="C183" s="202" t="s">
        <v>467</v>
      </c>
      <c r="D183" s="229"/>
      <c r="E183" s="203">
        <v>5</v>
      </c>
      <c r="F183" s="222"/>
      <c r="G183" s="229" t="s">
        <v>417</v>
      </c>
      <c r="H183" s="314"/>
      <c r="I183" s="6">
        <f t="shared" si="0"/>
        <v>0</v>
      </c>
    </row>
    <row r="184" spans="1:9" ht="15" x14ac:dyDescent="0.25">
      <c r="A184" s="226"/>
      <c r="D184" s="229"/>
      <c r="F184" s="222"/>
      <c r="G184" s="229"/>
      <c r="H184" s="128"/>
      <c r="I184" s="6"/>
    </row>
    <row r="185" spans="1:9" ht="15" x14ac:dyDescent="0.25">
      <c r="A185" s="226" t="s">
        <v>468</v>
      </c>
      <c r="C185" s="202" t="s">
        <v>469</v>
      </c>
      <c r="D185" s="229"/>
      <c r="E185" s="203">
        <v>5</v>
      </c>
      <c r="F185" s="222"/>
      <c r="G185" s="229" t="s">
        <v>417</v>
      </c>
      <c r="H185" s="314"/>
      <c r="I185" s="6">
        <f t="shared" si="0"/>
        <v>0</v>
      </c>
    </row>
    <row r="186" spans="1:9" x14ac:dyDescent="0.2">
      <c r="A186" s="226"/>
      <c r="D186" s="229"/>
      <c r="F186" s="222"/>
      <c r="G186" s="229"/>
      <c r="H186" s="238"/>
      <c r="I186" s="6"/>
    </row>
    <row r="187" spans="1:9" x14ac:dyDescent="0.2">
      <c r="A187" s="226"/>
      <c r="D187" s="229"/>
      <c r="F187" s="222"/>
      <c r="G187" s="229"/>
      <c r="H187" s="238"/>
      <c r="I187" s="239"/>
    </row>
    <row r="188" spans="1:9" x14ac:dyDescent="0.2">
      <c r="A188" s="226"/>
      <c r="D188" s="229"/>
      <c r="F188" s="222"/>
      <c r="G188" s="229"/>
      <c r="H188" s="238"/>
      <c r="I188" s="239"/>
    </row>
    <row r="189" spans="1:9" x14ac:dyDescent="0.2">
      <c r="A189" s="226"/>
      <c r="D189" s="229"/>
      <c r="F189" s="222"/>
      <c r="G189" s="229"/>
      <c r="H189" s="238"/>
      <c r="I189" s="239"/>
    </row>
    <row r="190" spans="1:9" x14ac:dyDescent="0.2">
      <c r="A190" s="226"/>
      <c r="D190" s="229"/>
      <c r="F190" s="222"/>
      <c r="G190" s="229"/>
      <c r="H190" s="238"/>
      <c r="I190" s="239"/>
    </row>
    <row r="191" spans="1:9" x14ac:dyDescent="0.2">
      <c r="A191" s="226"/>
      <c r="D191" s="229"/>
      <c r="F191" s="222"/>
      <c r="G191" s="229"/>
      <c r="H191" s="238"/>
      <c r="I191" s="239"/>
    </row>
    <row r="192" spans="1:9" x14ac:dyDescent="0.2">
      <c r="A192" s="245"/>
      <c r="B192" s="246"/>
      <c r="C192" s="246"/>
      <c r="D192" s="247"/>
      <c r="E192" s="248"/>
      <c r="F192" s="249"/>
      <c r="G192" s="245"/>
      <c r="H192" s="250"/>
      <c r="I192" s="251"/>
    </row>
    <row r="193" spans="1:9" ht="15" x14ac:dyDescent="0.25">
      <c r="A193" s="252"/>
      <c r="B193" s="253"/>
      <c r="C193" s="254"/>
      <c r="D193" s="255"/>
      <c r="E193" s="221"/>
      <c r="F193" s="253"/>
      <c r="G193" s="256"/>
      <c r="H193" s="257"/>
      <c r="I193" s="258"/>
    </row>
    <row r="194" spans="1:9" ht="15.75" thickBot="1" x14ac:dyDescent="0.3">
      <c r="A194" s="189"/>
      <c r="E194" s="259" t="s">
        <v>6</v>
      </c>
      <c r="G194" s="260"/>
      <c r="H194" s="261"/>
      <c r="I194" s="262">
        <f>SUM(I165:I193)</f>
        <v>0</v>
      </c>
    </row>
    <row r="195" spans="1:9" ht="15.75" thickTop="1" x14ac:dyDescent="0.25">
      <c r="A195" s="189"/>
      <c r="E195" s="259"/>
      <c r="G195" s="202"/>
    </row>
    <row r="196" spans="1:9" x14ac:dyDescent="0.2">
      <c r="A196" s="248"/>
      <c r="B196" s="246"/>
      <c r="C196" s="246"/>
      <c r="D196" s="248"/>
      <c r="E196" s="248"/>
      <c r="F196" s="246"/>
      <c r="G196" s="248"/>
      <c r="H196" s="264"/>
      <c r="I196" s="265"/>
    </row>
    <row r="197" spans="1:9" ht="15" x14ac:dyDescent="0.25">
      <c r="A197" s="266"/>
      <c r="B197" s="267"/>
      <c r="C197" s="267"/>
      <c r="D197" s="268"/>
      <c r="E197" s="269"/>
      <c r="F197" s="270"/>
      <c r="G197" s="271"/>
      <c r="H197" s="272" t="s">
        <v>2</v>
      </c>
      <c r="I197" s="273"/>
    </row>
    <row r="198" spans="1:9" ht="15" x14ac:dyDescent="0.25">
      <c r="A198" s="210"/>
      <c r="B198" s="211"/>
      <c r="C198" s="211" t="s">
        <v>0</v>
      </c>
      <c r="D198" s="212"/>
      <c r="E198" s="213" t="s">
        <v>3</v>
      </c>
      <c r="F198" s="214"/>
      <c r="G198" s="212" t="s">
        <v>1</v>
      </c>
      <c r="H198" s="215" t="s">
        <v>404</v>
      </c>
      <c r="I198" s="216" t="s">
        <v>402</v>
      </c>
    </row>
    <row r="199" spans="1:9" ht="15" x14ac:dyDescent="0.25">
      <c r="A199" s="218"/>
      <c r="C199" s="219"/>
      <c r="D199" s="220"/>
      <c r="E199" s="221"/>
      <c r="F199" s="222"/>
      <c r="G199" s="223"/>
      <c r="H199" s="224"/>
      <c r="I199" s="225"/>
    </row>
    <row r="200" spans="1:9" ht="15" x14ac:dyDescent="0.25">
      <c r="A200" s="226"/>
      <c r="C200" s="295" t="s">
        <v>7</v>
      </c>
      <c r="D200" s="229"/>
      <c r="F200" s="222"/>
      <c r="G200" s="229"/>
      <c r="I200" s="231"/>
    </row>
    <row r="201" spans="1:9" ht="15" x14ac:dyDescent="0.25">
      <c r="A201" s="226"/>
      <c r="C201" s="295"/>
      <c r="D201" s="229"/>
      <c r="F201" s="222"/>
      <c r="G201" s="229"/>
      <c r="I201" s="231"/>
    </row>
    <row r="202" spans="1:9" ht="15" x14ac:dyDescent="0.25">
      <c r="A202" s="226"/>
      <c r="C202" s="295" t="s">
        <v>743</v>
      </c>
      <c r="D202" s="229"/>
      <c r="F202" s="222"/>
      <c r="G202" s="229"/>
      <c r="I202" s="231">
        <f>I39</f>
        <v>0</v>
      </c>
    </row>
    <row r="203" spans="1:9" x14ac:dyDescent="0.2">
      <c r="A203" s="226"/>
      <c r="C203" s="203"/>
      <c r="D203" s="229"/>
      <c r="F203" s="222"/>
      <c r="G203" s="229"/>
      <c r="I203" s="231"/>
    </row>
    <row r="204" spans="1:9" ht="15" x14ac:dyDescent="0.25">
      <c r="A204" s="226"/>
      <c r="C204" s="295" t="s">
        <v>744</v>
      </c>
      <c r="D204" s="229"/>
      <c r="F204" s="222"/>
      <c r="G204" s="229"/>
      <c r="I204" s="231">
        <f>I84</f>
        <v>0</v>
      </c>
    </row>
    <row r="205" spans="1:9" x14ac:dyDescent="0.2">
      <c r="A205" s="226"/>
      <c r="C205" s="203"/>
      <c r="D205" s="229"/>
      <c r="F205" s="222"/>
      <c r="G205" s="229"/>
      <c r="I205" s="231"/>
    </row>
    <row r="206" spans="1:9" ht="15" x14ac:dyDescent="0.25">
      <c r="A206" s="226"/>
      <c r="C206" s="295" t="s">
        <v>745</v>
      </c>
      <c r="D206" s="229"/>
      <c r="F206" s="222"/>
      <c r="G206" s="229"/>
      <c r="H206" s="238"/>
      <c r="I206" s="231">
        <f>I139</f>
        <v>0</v>
      </c>
    </row>
    <row r="207" spans="1:9" x14ac:dyDescent="0.2">
      <c r="A207" s="226"/>
      <c r="C207" s="203"/>
      <c r="D207" s="229"/>
      <c r="F207" s="222"/>
      <c r="G207" s="229"/>
      <c r="H207" s="238"/>
      <c r="I207" s="231"/>
    </row>
    <row r="208" spans="1:9" ht="15" x14ac:dyDescent="0.25">
      <c r="A208" s="226"/>
      <c r="C208" s="295" t="s">
        <v>746</v>
      </c>
      <c r="D208" s="229"/>
      <c r="F208" s="222"/>
      <c r="G208" s="229"/>
      <c r="H208" s="238"/>
      <c r="I208" s="231">
        <f>I194</f>
        <v>0</v>
      </c>
    </row>
    <row r="209" spans="1:9" x14ac:dyDescent="0.2">
      <c r="A209" s="226"/>
      <c r="C209" s="203"/>
      <c r="D209" s="229"/>
      <c r="F209" s="222"/>
      <c r="G209" s="229"/>
      <c r="H209" s="238"/>
      <c r="I209" s="231"/>
    </row>
    <row r="210" spans="1:9" ht="15" x14ac:dyDescent="0.25">
      <c r="A210" s="226"/>
      <c r="D210" s="276"/>
      <c r="F210" s="222"/>
      <c r="G210" s="229"/>
      <c r="H210" s="238"/>
      <c r="I210" s="239"/>
    </row>
    <row r="211" spans="1:9" x14ac:dyDescent="0.2">
      <c r="A211" s="226"/>
      <c r="D211" s="229"/>
      <c r="F211" s="222"/>
      <c r="G211" s="229"/>
      <c r="H211" s="238"/>
      <c r="I211" s="239"/>
    </row>
    <row r="212" spans="1:9" x14ac:dyDescent="0.2">
      <c r="A212" s="226"/>
      <c r="D212" s="229"/>
      <c r="F212" s="222"/>
      <c r="G212" s="229"/>
      <c r="H212" s="238"/>
      <c r="I212" s="239"/>
    </row>
    <row r="213" spans="1:9" x14ac:dyDescent="0.2">
      <c r="A213" s="226"/>
      <c r="D213" s="229"/>
      <c r="F213" s="222"/>
      <c r="G213" s="229"/>
      <c r="H213" s="238"/>
      <c r="I213" s="239"/>
    </row>
    <row r="214" spans="1:9" x14ac:dyDescent="0.2">
      <c r="A214" s="226"/>
      <c r="D214" s="229"/>
      <c r="F214" s="222"/>
      <c r="G214" s="229"/>
      <c r="H214" s="238"/>
      <c r="I214" s="239"/>
    </row>
    <row r="215" spans="1:9" x14ac:dyDescent="0.2">
      <c r="A215" s="226"/>
      <c r="D215" s="229"/>
      <c r="F215" s="222"/>
      <c r="G215" s="229"/>
      <c r="H215" s="238"/>
      <c r="I215" s="239"/>
    </row>
    <row r="216" spans="1:9" x14ac:dyDescent="0.2">
      <c r="A216" s="226"/>
      <c r="D216" s="229"/>
      <c r="F216" s="222"/>
      <c r="G216" s="229"/>
      <c r="H216" s="238"/>
      <c r="I216" s="239"/>
    </row>
    <row r="217" spans="1:9" x14ac:dyDescent="0.2">
      <c r="A217" s="226"/>
      <c r="D217" s="229"/>
      <c r="F217" s="222"/>
      <c r="G217" s="229"/>
      <c r="H217" s="238"/>
      <c r="I217" s="239"/>
    </row>
    <row r="218" spans="1:9" x14ac:dyDescent="0.2">
      <c r="A218" s="226"/>
      <c r="D218" s="229"/>
      <c r="F218" s="222"/>
      <c r="G218" s="229"/>
      <c r="H218" s="238"/>
      <c r="I218" s="239"/>
    </row>
    <row r="219" spans="1:9" x14ac:dyDescent="0.2">
      <c r="A219" s="226"/>
      <c r="D219" s="229"/>
      <c r="F219" s="222"/>
      <c r="G219" s="229"/>
      <c r="H219" s="238"/>
      <c r="I219" s="239"/>
    </row>
    <row r="220" spans="1:9" x14ac:dyDescent="0.2">
      <c r="A220" s="226"/>
      <c r="D220" s="229"/>
      <c r="F220" s="222"/>
      <c r="G220" s="229"/>
      <c r="H220" s="238"/>
      <c r="I220" s="239"/>
    </row>
    <row r="221" spans="1:9" x14ac:dyDescent="0.2">
      <c r="A221" s="226"/>
      <c r="D221" s="229"/>
      <c r="F221" s="222"/>
      <c r="G221" s="229"/>
      <c r="H221" s="238"/>
      <c r="I221" s="239"/>
    </row>
    <row r="222" spans="1:9" x14ac:dyDescent="0.2">
      <c r="A222" s="226"/>
      <c r="D222" s="229"/>
      <c r="F222" s="222"/>
      <c r="G222" s="229"/>
      <c r="H222" s="238"/>
      <c r="I222" s="239"/>
    </row>
    <row r="223" spans="1:9" x14ac:dyDescent="0.2">
      <c r="A223" s="226"/>
      <c r="D223" s="229"/>
      <c r="F223" s="222"/>
      <c r="G223" s="229"/>
      <c r="H223" s="238"/>
      <c r="I223" s="239"/>
    </row>
    <row r="224" spans="1:9" x14ac:dyDescent="0.2">
      <c r="A224" s="226"/>
      <c r="D224" s="229"/>
      <c r="F224" s="222"/>
      <c r="G224" s="229"/>
      <c r="H224" s="238"/>
      <c r="I224" s="239"/>
    </row>
    <row r="225" spans="1:9" x14ac:dyDescent="0.2">
      <c r="A225" s="226"/>
      <c r="D225" s="229"/>
      <c r="F225" s="222"/>
      <c r="G225" s="229"/>
      <c r="H225" s="238"/>
      <c r="I225" s="239"/>
    </row>
    <row r="226" spans="1:9" x14ac:dyDescent="0.2">
      <c r="A226" s="226"/>
      <c r="D226" s="229"/>
      <c r="F226" s="222"/>
      <c r="G226" s="229"/>
      <c r="H226" s="238"/>
      <c r="I226" s="239"/>
    </row>
    <row r="227" spans="1:9" x14ac:dyDescent="0.2">
      <c r="A227" s="226"/>
      <c r="D227" s="229"/>
      <c r="F227" s="222"/>
      <c r="G227" s="229"/>
      <c r="H227" s="238"/>
      <c r="I227" s="239"/>
    </row>
    <row r="228" spans="1:9" x14ac:dyDescent="0.2">
      <c r="A228" s="226"/>
      <c r="D228" s="229"/>
      <c r="F228" s="222"/>
      <c r="G228" s="229"/>
      <c r="H228" s="238"/>
      <c r="I228" s="239"/>
    </row>
    <row r="229" spans="1:9" x14ac:dyDescent="0.2">
      <c r="A229" s="226"/>
      <c r="D229" s="229"/>
      <c r="F229" s="222"/>
      <c r="G229" s="229"/>
      <c r="H229" s="238"/>
      <c r="I229" s="239"/>
    </row>
    <row r="230" spans="1:9" x14ac:dyDescent="0.2">
      <c r="A230" s="226"/>
      <c r="D230" s="229"/>
      <c r="F230" s="222"/>
      <c r="G230" s="229"/>
      <c r="H230" s="238"/>
      <c r="I230" s="239"/>
    </row>
    <row r="231" spans="1:9" x14ac:dyDescent="0.2">
      <c r="A231" s="226"/>
      <c r="D231" s="229"/>
      <c r="F231" s="222"/>
      <c r="G231" s="229"/>
      <c r="H231" s="238"/>
      <c r="I231" s="239"/>
    </row>
    <row r="232" spans="1:9" x14ac:dyDescent="0.2">
      <c r="A232" s="226"/>
      <c r="D232" s="229"/>
      <c r="F232" s="222"/>
      <c r="G232" s="229"/>
      <c r="H232" s="238"/>
      <c r="I232" s="239"/>
    </row>
    <row r="233" spans="1:9" x14ac:dyDescent="0.2">
      <c r="A233" s="226"/>
      <c r="D233" s="229"/>
      <c r="F233" s="222"/>
      <c r="G233" s="229"/>
      <c r="H233" s="238"/>
      <c r="I233" s="239"/>
    </row>
    <row r="234" spans="1:9" x14ac:dyDescent="0.2">
      <c r="A234" s="226"/>
      <c r="D234" s="229"/>
      <c r="F234" s="222"/>
      <c r="G234" s="229"/>
      <c r="H234" s="238"/>
      <c r="I234" s="239"/>
    </row>
    <row r="235" spans="1:9" x14ac:dyDescent="0.2">
      <c r="A235" s="226"/>
      <c r="D235" s="229"/>
      <c r="F235" s="222"/>
      <c r="G235" s="229"/>
      <c r="H235" s="238"/>
      <c r="I235" s="239"/>
    </row>
    <row r="236" spans="1:9" x14ac:dyDescent="0.2">
      <c r="A236" s="226"/>
      <c r="D236" s="229"/>
      <c r="F236" s="222"/>
      <c r="G236" s="229"/>
      <c r="H236" s="238"/>
      <c r="I236" s="239"/>
    </row>
    <row r="237" spans="1:9" x14ac:dyDescent="0.2">
      <c r="A237" s="226"/>
      <c r="D237" s="229"/>
      <c r="F237" s="222"/>
      <c r="G237" s="229"/>
      <c r="H237" s="238"/>
      <c r="I237" s="239"/>
    </row>
    <row r="238" spans="1:9" x14ac:dyDescent="0.2">
      <c r="A238" s="226"/>
      <c r="D238" s="229"/>
      <c r="F238" s="222"/>
      <c r="G238" s="229"/>
      <c r="H238" s="238"/>
      <c r="I238" s="239"/>
    </row>
    <row r="239" spans="1:9" x14ac:dyDescent="0.2">
      <c r="A239" s="226"/>
      <c r="D239" s="229"/>
      <c r="F239" s="222"/>
      <c r="G239" s="229"/>
      <c r="H239" s="238"/>
      <c r="I239" s="239"/>
    </row>
    <row r="240" spans="1:9" x14ac:dyDescent="0.2">
      <c r="A240" s="226"/>
      <c r="D240" s="229"/>
      <c r="F240" s="222"/>
      <c r="G240" s="229"/>
      <c r="H240" s="238"/>
      <c r="I240" s="239"/>
    </row>
    <row r="241" spans="1:9" x14ac:dyDescent="0.2">
      <c r="A241" s="226"/>
      <c r="D241" s="229"/>
      <c r="F241" s="222"/>
      <c r="G241" s="229"/>
      <c r="H241" s="238"/>
      <c r="I241" s="239"/>
    </row>
    <row r="242" spans="1:9" x14ac:dyDescent="0.2">
      <c r="A242" s="226"/>
      <c r="D242" s="229"/>
      <c r="F242" s="222"/>
      <c r="G242" s="229"/>
      <c r="H242" s="238"/>
      <c r="I242" s="239"/>
    </row>
    <row r="243" spans="1:9" x14ac:dyDescent="0.2">
      <c r="A243" s="226"/>
      <c r="D243" s="229"/>
      <c r="F243" s="222"/>
      <c r="G243" s="229"/>
      <c r="H243" s="238"/>
      <c r="I243" s="239"/>
    </row>
    <row r="244" spans="1:9" x14ac:dyDescent="0.2">
      <c r="A244" s="226"/>
      <c r="D244" s="229"/>
      <c r="F244" s="222"/>
      <c r="G244" s="229"/>
      <c r="H244" s="238"/>
      <c r="I244" s="239"/>
    </row>
    <row r="245" spans="1:9" x14ac:dyDescent="0.2">
      <c r="A245" s="226"/>
      <c r="D245" s="229"/>
      <c r="F245" s="222"/>
      <c r="G245" s="229"/>
      <c r="H245" s="238"/>
      <c r="I245" s="239"/>
    </row>
    <row r="246" spans="1:9" x14ac:dyDescent="0.2">
      <c r="A246" s="245"/>
      <c r="B246" s="246"/>
      <c r="C246" s="246"/>
      <c r="D246" s="247"/>
      <c r="E246" s="248"/>
      <c r="F246" s="249"/>
      <c r="G246" s="245"/>
      <c r="H246" s="250"/>
      <c r="I246" s="251"/>
    </row>
    <row r="247" spans="1:9" ht="15" x14ac:dyDescent="0.25">
      <c r="A247" s="296"/>
      <c r="C247" s="219"/>
      <c r="D247" s="255"/>
      <c r="G247" s="229"/>
      <c r="H247" s="297"/>
      <c r="I247" s="239"/>
    </row>
    <row r="248" spans="1:9" x14ac:dyDescent="0.2">
      <c r="A248" s="298"/>
      <c r="G248" s="229"/>
      <c r="H248" s="297"/>
      <c r="I248" s="231"/>
    </row>
    <row r="249" spans="1:9" ht="15.75" thickBot="1" x14ac:dyDescent="0.3">
      <c r="A249" s="298"/>
      <c r="E249" s="269" t="s">
        <v>8</v>
      </c>
      <c r="G249" s="229"/>
      <c r="H249" s="165"/>
      <c r="I249" s="317">
        <f>SUM(I201:I248)</f>
        <v>0</v>
      </c>
    </row>
    <row r="250" spans="1:9" ht="15" thickTop="1" x14ac:dyDescent="0.2"/>
  </sheetData>
  <phoneticPr fontId="38" type="noConversion"/>
  <pageMargins left="0.70866141732283472" right="0.70866141732283472" top="0.70866141732283472" bottom="0.74803149606299213" header="0.35433070866141736" footer="0.43307086614173229"/>
  <pageSetup paperSize="9" scale="90" orientation="portrait" useFirstPageNumber="1" r:id="rId1"/>
  <headerFooter>
    <oddHeader>&amp;L&amp;UΠΑΣΥΔΥ PLATRES APARTMENTS
ΚΑΤΕΔΑΦΙΣΕΙΣ - ΜΕΤΑΤΡΟΠΕΣ
&amp;R&amp;"-,Bold"ΔΕΛΤΙΟ EΡΓΑΣΙΕΣ ΜΕ ΗΜΕΡΗΣΙΟ ΑΠΟΛΟΓΙΣΜΟ</oddHeader>
    <oddFooter>&amp;R13/&amp;P</oddFooter>
  </headerFooter>
  <rowBreaks count="4" manualBreakCount="4">
    <brk id="41" max="8" man="1"/>
    <brk id="86" max="8" man="1"/>
    <brk id="141" max="8" man="1"/>
    <brk id="19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26A36-C7D9-4998-8F6A-D318838AF246}">
  <sheetPr>
    <tabColor rgb="FFFFFF00"/>
  </sheetPr>
  <dimension ref="A1:J46"/>
  <sheetViews>
    <sheetView showZeros="0" tabSelected="1" view="pageBreakPreview" topLeftCell="C18" zoomScaleNormal="100" zoomScaleSheetLayoutView="100" zoomScalePageLayoutView="85" workbookViewId="0">
      <selection activeCell="J19" sqref="J19"/>
    </sheetView>
  </sheetViews>
  <sheetFormatPr defaultColWidth="9.28515625" defaultRowHeight="20.25" x14ac:dyDescent="0.3"/>
  <cols>
    <col min="1" max="1" width="6.28515625" style="174" customWidth="1"/>
    <col min="2" max="2" width="1.7109375" style="169" customWidth="1"/>
    <col min="3" max="3" width="12.28515625" style="421" customWidth="1"/>
    <col min="4" max="4" width="9.28515625" style="416"/>
    <col min="5" max="5" width="45.7109375" style="421" customWidth="1"/>
    <col min="6" max="6" width="1.140625" style="172" customWidth="1"/>
    <col min="7" max="7" width="0.5703125" style="169" hidden="1" customWidth="1"/>
    <col min="8" max="8" width="2.28515625" style="169" customWidth="1"/>
    <col min="9" max="9" width="5.28515625" style="169" customWidth="1"/>
    <col min="10" max="10" width="12.7109375" style="432" customWidth="1"/>
    <col min="11" max="11" width="4" style="169" customWidth="1"/>
    <col min="12" max="16384" width="9.28515625" style="169"/>
  </cols>
  <sheetData>
    <row r="1" spans="1:10" s="160" customFormat="1" ht="25.5" customHeight="1" x14ac:dyDescent="0.35">
      <c r="A1" s="398"/>
      <c r="B1" s="399"/>
      <c r="C1" s="422"/>
      <c r="D1" s="417"/>
      <c r="E1" s="419" t="s">
        <v>926</v>
      </c>
      <c r="F1" s="411"/>
      <c r="G1" s="402"/>
      <c r="J1" s="424"/>
    </row>
    <row r="2" spans="1:10" s="160" customFormat="1" ht="16.5" customHeight="1" x14ac:dyDescent="0.35">
      <c r="A2" s="398"/>
      <c r="B2" s="399"/>
      <c r="C2" s="422"/>
      <c r="D2" s="417"/>
      <c r="E2" s="414"/>
      <c r="F2" s="411"/>
      <c r="G2" s="402"/>
      <c r="J2" s="424"/>
    </row>
    <row r="3" spans="1:10" s="160" customFormat="1" ht="16.5" customHeight="1" x14ac:dyDescent="0.35">
      <c r="A3" s="398"/>
      <c r="B3" s="399"/>
      <c r="C3" s="422" t="s">
        <v>927</v>
      </c>
      <c r="D3" s="417">
        <v>1</v>
      </c>
      <c r="E3" s="414" t="s">
        <v>401</v>
      </c>
      <c r="F3" s="411"/>
      <c r="G3" s="402"/>
      <c r="J3" s="424"/>
    </row>
    <row r="4" spans="1:10" s="160" customFormat="1" ht="16.5" customHeight="1" x14ac:dyDescent="0.35">
      <c r="A4" s="398"/>
      <c r="B4" s="399"/>
      <c r="C4" s="422"/>
      <c r="D4" s="417"/>
      <c r="E4" s="414"/>
      <c r="F4" s="411"/>
      <c r="G4" s="402"/>
      <c r="J4" s="424"/>
    </row>
    <row r="5" spans="1:10" s="160" customFormat="1" ht="16.5" customHeight="1" x14ac:dyDescent="0.35">
      <c r="A5" s="398"/>
      <c r="B5" s="399"/>
      <c r="C5" s="422" t="s">
        <v>927</v>
      </c>
      <c r="D5" s="417">
        <v>2</v>
      </c>
      <c r="E5" s="414" t="s">
        <v>928</v>
      </c>
      <c r="F5" s="411"/>
      <c r="G5" s="402"/>
      <c r="J5" s="450">
        <f>'DELTIO 2 BLOCK TWO BEDROOM  '!G695</f>
        <v>0</v>
      </c>
    </row>
    <row r="6" spans="1:10" s="160" customFormat="1" ht="16.5" customHeight="1" x14ac:dyDescent="0.35">
      <c r="A6" s="398"/>
      <c r="B6" s="399"/>
      <c r="C6" s="422"/>
      <c r="D6" s="417"/>
      <c r="E6" s="414"/>
      <c r="F6" s="411"/>
      <c r="G6" s="402"/>
      <c r="J6" s="424"/>
    </row>
    <row r="7" spans="1:10" s="160" customFormat="1" ht="16.5" customHeight="1" x14ac:dyDescent="0.35">
      <c r="A7" s="398"/>
      <c r="B7" s="399"/>
      <c r="C7" s="422" t="s">
        <v>927</v>
      </c>
      <c r="D7" s="417">
        <v>3</v>
      </c>
      <c r="E7" s="414" t="s">
        <v>929</v>
      </c>
      <c r="F7" s="411"/>
      <c r="G7" s="402"/>
      <c r="J7" s="450">
        <f>J5</f>
        <v>0</v>
      </c>
    </row>
    <row r="8" spans="1:10" s="160" customFormat="1" ht="16.5" customHeight="1" x14ac:dyDescent="0.35">
      <c r="A8" s="398"/>
      <c r="B8" s="399"/>
      <c r="C8" s="422"/>
      <c r="D8" s="417"/>
      <c r="E8" s="414"/>
      <c r="F8" s="411"/>
      <c r="G8" s="402"/>
      <c r="J8" s="424"/>
    </row>
    <row r="9" spans="1:10" s="160" customFormat="1" ht="16.5" customHeight="1" x14ac:dyDescent="0.35">
      <c r="A9" s="398"/>
      <c r="B9" s="399"/>
      <c r="C9" s="422" t="s">
        <v>927</v>
      </c>
      <c r="D9" s="417">
        <v>4</v>
      </c>
      <c r="E9" s="414" t="s">
        <v>930</v>
      </c>
      <c r="F9" s="411"/>
      <c r="G9" s="402"/>
      <c r="J9" s="450">
        <f>J5</f>
        <v>0</v>
      </c>
    </row>
    <row r="10" spans="1:10" s="160" customFormat="1" ht="16.5" customHeight="1" x14ac:dyDescent="0.35">
      <c r="A10" s="398"/>
      <c r="B10" s="399"/>
      <c r="C10" s="422"/>
      <c r="D10" s="417"/>
      <c r="E10" s="414"/>
      <c r="F10" s="411"/>
      <c r="G10" s="402"/>
      <c r="J10" s="424"/>
    </row>
    <row r="11" spans="1:10" s="160" customFormat="1" ht="16.5" customHeight="1" x14ac:dyDescent="0.35">
      <c r="A11" s="398"/>
      <c r="B11" s="399"/>
      <c r="C11" s="422" t="s">
        <v>927</v>
      </c>
      <c r="D11" s="417">
        <v>5</v>
      </c>
      <c r="E11" s="414" t="s">
        <v>931</v>
      </c>
      <c r="F11" s="411"/>
      <c r="G11" s="402"/>
      <c r="J11" s="450">
        <f>'DELTIO 5 BLOCK THREE BEDROOM'!G699</f>
        <v>0</v>
      </c>
    </row>
    <row r="12" spans="1:10" s="160" customFormat="1" ht="16.5" customHeight="1" x14ac:dyDescent="0.35">
      <c r="A12" s="398"/>
      <c r="B12" s="399"/>
      <c r="C12" s="422"/>
      <c r="D12" s="417"/>
      <c r="E12" s="414"/>
      <c r="F12" s="411"/>
      <c r="G12" s="402"/>
      <c r="J12" s="424"/>
    </row>
    <row r="13" spans="1:10" s="160" customFormat="1" ht="16.5" customHeight="1" x14ac:dyDescent="0.35">
      <c r="A13" s="398"/>
      <c r="B13" s="399"/>
      <c r="C13" s="422" t="s">
        <v>927</v>
      </c>
      <c r="D13" s="417">
        <v>6</v>
      </c>
      <c r="E13" s="414" t="s">
        <v>932</v>
      </c>
      <c r="F13" s="411"/>
      <c r="G13" s="402"/>
      <c r="J13" s="450">
        <f>J11</f>
        <v>0</v>
      </c>
    </row>
    <row r="14" spans="1:10" s="160" customFormat="1" ht="16.5" customHeight="1" x14ac:dyDescent="0.35">
      <c r="A14" s="398"/>
      <c r="B14" s="399"/>
      <c r="C14" s="422"/>
      <c r="D14" s="417"/>
      <c r="E14" s="414"/>
      <c r="F14" s="411"/>
      <c r="G14" s="402"/>
      <c r="J14" s="424"/>
    </row>
    <row r="15" spans="1:10" s="160" customFormat="1" ht="16.5" customHeight="1" x14ac:dyDescent="0.35">
      <c r="A15" s="398"/>
      <c r="B15" s="399"/>
      <c r="C15" s="422" t="s">
        <v>927</v>
      </c>
      <c r="D15" s="417">
        <v>7</v>
      </c>
      <c r="E15" s="414" t="s">
        <v>933</v>
      </c>
      <c r="F15" s="411"/>
      <c r="G15" s="402"/>
      <c r="J15" s="450">
        <f>J13</f>
        <v>0</v>
      </c>
    </row>
    <row r="16" spans="1:10" s="160" customFormat="1" ht="16.5" customHeight="1" x14ac:dyDescent="0.35">
      <c r="A16" s="398"/>
      <c r="B16" s="399"/>
      <c r="C16" s="422"/>
      <c r="D16" s="417"/>
      <c r="E16" s="414"/>
      <c r="F16" s="411"/>
      <c r="G16" s="402"/>
      <c r="J16" s="424"/>
    </row>
    <row r="17" spans="1:10" s="160" customFormat="1" ht="16.5" customHeight="1" x14ac:dyDescent="0.35">
      <c r="A17" s="398"/>
      <c r="B17" s="399"/>
      <c r="C17" s="422" t="s">
        <v>927</v>
      </c>
      <c r="D17" s="417">
        <v>8</v>
      </c>
      <c r="E17" s="414" t="s">
        <v>934</v>
      </c>
      <c r="F17" s="411"/>
      <c r="G17" s="402"/>
      <c r="J17" s="424"/>
    </row>
    <row r="18" spans="1:10" s="160" customFormat="1" ht="16.5" customHeight="1" x14ac:dyDescent="0.35">
      <c r="A18" s="398"/>
      <c r="B18" s="399"/>
      <c r="C18" s="422"/>
      <c r="D18" s="417"/>
      <c r="E18" s="414"/>
      <c r="F18" s="411"/>
      <c r="G18" s="402"/>
      <c r="J18" s="424"/>
    </row>
    <row r="19" spans="1:10" s="160" customFormat="1" ht="16.5" customHeight="1" x14ac:dyDescent="0.35">
      <c r="A19" s="398"/>
      <c r="B19" s="399"/>
      <c r="C19" s="422"/>
      <c r="D19" s="417"/>
      <c r="E19" s="414" t="s">
        <v>936</v>
      </c>
      <c r="F19" s="411"/>
      <c r="G19" s="402"/>
      <c r="J19" s="450"/>
    </row>
    <row r="20" spans="1:10" s="160" customFormat="1" ht="16.5" customHeight="1" x14ac:dyDescent="0.35">
      <c r="A20" s="398"/>
      <c r="B20" s="399"/>
      <c r="C20" s="422"/>
      <c r="D20" s="417"/>
      <c r="E20" s="414"/>
      <c r="F20" s="411"/>
      <c r="G20" s="402"/>
      <c r="J20" s="424"/>
    </row>
    <row r="21" spans="1:10" s="160" customFormat="1" ht="16.5" customHeight="1" x14ac:dyDescent="0.35">
      <c r="A21" s="398"/>
      <c r="B21" s="399"/>
      <c r="C21" s="422"/>
      <c r="D21" s="417"/>
      <c r="E21" s="414"/>
      <c r="F21" s="411"/>
      <c r="G21" s="402"/>
      <c r="J21" s="424"/>
    </row>
    <row r="22" spans="1:10" s="160" customFormat="1" ht="16.5" customHeight="1" x14ac:dyDescent="0.35">
      <c r="A22" s="398"/>
      <c r="B22" s="399"/>
      <c r="C22" s="422"/>
      <c r="D22" s="417"/>
      <c r="E22" s="414"/>
      <c r="F22" s="411"/>
      <c r="G22" s="402"/>
      <c r="J22" s="424"/>
    </row>
    <row r="23" spans="1:10" s="160" customFormat="1" ht="16.5" customHeight="1" x14ac:dyDescent="0.35">
      <c r="A23" s="398"/>
      <c r="B23" s="399"/>
      <c r="C23" s="422"/>
      <c r="D23" s="417"/>
      <c r="E23" s="414"/>
      <c r="F23" s="411"/>
      <c r="G23" s="402"/>
      <c r="J23" s="424"/>
    </row>
    <row r="24" spans="1:10" s="160" customFormat="1" ht="16.5" customHeight="1" x14ac:dyDescent="0.35">
      <c r="A24" s="398"/>
      <c r="B24" s="399"/>
      <c r="C24" s="422"/>
      <c r="D24" s="417"/>
      <c r="E24" s="414"/>
      <c r="F24" s="411"/>
      <c r="G24" s="402"/>
      <c r="J24" s="424"/>
    </row>
    <row r="25" spans="1:10" s="160" customFormat="1" ht="16.5" customHeight="1" x14ac:dyDescent="0.35">
      <c r="A25" s="398"/>
      <c r="B25" s="399"/>
      <c r="C25" s="422"/>
      <c r="D25" s="417"/>
      <c r="E25" s="414"/>
      <c r="F25" s="411"/>
      <c r="G25" s="402"/>
      <c r="J25" s="424"/>
    </row>
    <row r="26" spans="1:10" s="160" customFormat="1" ht="16.5" customHeight="1" x14ac:dyDescent="0.35">
      <c r="A26" s="398"/>
      <c r="B26" s="399"/>
      <c r="C26" s="422"/>
      <c r="D26" s="417"/>
      <c r="E26" s="414"/>
      <c r="F26" s="411"/>
      <c r="G26" s="402"/>
      <c r="J26" s="424"/>
    </row>
    <row r="27" spans="1:10" s="160" customFormat="1" ht="16.5" customHeight="1" x14ac:dyDescent="0.35">
      <c r="A27" s="398"/>
      <c r="B27" s="399"/>
      <c r="C27" s="422"/>
      <c r="D27" s="417"/>
      <c r="E27" s="414"/>
      <c r="F27" s="411"/>
      <c r="G27" s="402"/>
      <c r="J27" s="424"/>
    </row>
    <row r="28" spans="1:10" s="160" customFormat="1" ht="16.5" customHeight="1" x14ac:dyDescent="0.35">
      <c r="A28" s="398"/>
      <c r="B28" s="399"/>
      <c r="C28" s="422"/>
      <c r="D28" s="417"/>
      <c r="E28" s="414"/>
      <c r="F28" s="411"/>
      <c r="G28" s="402"/>
      <c r="J28" s="424"/>
    </row>
    <row r="29" spans="1:10" s="160" customFormat="1" ht="16.5" customHeight="1" x14ac:dyDescent="0.35">
      <c r="A29" s="398"/>
      <c r="B29" s="399"/>
      <c r="C29" s="422"/>
      <c r="D29" s="417"/>
      <c r="E29" s="414"/>
      <c r="F29" s="411"/>
      <c r="G29" s="402"/>
      <c r="J29" s="424"/>
    </row>
    <row r="30" spans="1:10" s="160" customFormat="1" ht="16.5" customHeight="1" x14ac:dyDescent="0.35">
      <c r="A30" s="398"/>
      <c r="B30" s="399"/>
      <c r="C30" s="422"/>
      <c r="D30" s="417"/>
      <c r="E30" s="414"/>
      <c r="F30" s="411"/>
      <c r="G30" s="402"/>
      <c r="J30" s="424"/>
    </row>
    <row r="31" spans="1:10" s="160" customFormat="1" ht="16.5" customHeight="1" x14ac:dyDescent="0.35">
      <c r="A31" s="398"/>
      <c r="B31" s="399"/>
      <c r="C31" s="422"/>
      <c r="D31" s="417"/>
      <c r="E31" s="414"/>
      <c r="F31" s="411"/>
      <c r="G31" s="402"/>
      <c r="J31" s="424"/>
    </row>
    <row r="32" spans="1:10" s="160" customFormat="1" ht="16.5" customHeight="1" x14ac:dyDescent="0.35">
      <c r="A32" s="398"/>
      <c r="B32" s="399"/>
      <c r="C32" s="422"/>
      <c r="D32" s="417"/>
      <c r="E32" s="414"/>
      <c r="F32" s="411"/>
      <c r="G32" s="402"/>
      <c r="J32" s="424"/>
    </row>
    <row r="33" spans="1:10" s="160" customFormat="1" ht="16.5" customHeight="1" x14ac:dyDescent="0.35">
      <c r="A33" s="398"/>
      <c r="B33" s="399"/>
      <c r="C33" s="422"/>
      <c r="D33" s="417"/>
      <c r="E33" s="414"/>
      <c r="F33" s="411"/>
      <c r="G33" s="402"/>
      <c r="J33" s="424"/>
    </row>
    <row r="34" spans="1:10" s="160" customFormat="1" ht="16.5" customHeight="1" x14ac:dyDescent="0.35">
      <c r="A34" s="398"/>
      <c r="B34" s="399"/>
      <c r="C34" s="422"/>
      <c r="D34" s="417"/>
      <c r="E34" s="414"/>
      <c r="F34" s="411"/>
      <c r="G34" s="402"/>
      <c r="J34" s="424"/>
    </row>
    <row r="35" spans="1:10" s="160" customFormat="1" ht="16.5" customHeight="1" x14ac:dyDescent="0.35">
      <c r="A35" s="398"/>
      <c r="B35" s="399"/>
      <c r="C35" s="422"/>
      <c r="D35" s="417"/>
      <c r="E35" s="414"/>
      <c r="F35" s="411"/>
      <c r="G35" s="402"/>
      <c r="J35" s="424"/>
    </row>
    <row r="36" spans="1:10" s="160" customFormat="1" ht="16.5" customHeight="1" x14ac:dyDescent="0.35">
      <c r="A36" s="398"/>
      <c r="B36" s="399"/>
      <c r="C36" s="422"/>
      <c r="D36" s="417"/>
      <c r="E36" s="414"/>
      <c r="F36" s="411"/>
      <c r="G36" s="402"/>
      <c r="J36" s="424"/>
    </row>
    <row r="37" spans="1:10" s="160" customFormat="1" ht="16.5" customHeight="1" thickBot="1" x14ac:dyDescent="0.4">
      <c r="A37" s="398"/>
      <c r="B37" s="399"/>
      <c r="C37" s="422"/>
      <c r="D37" s="417"/>
      <c r="E37" s="414"/>
      <c r="F37" s="411"/>
      <c r="G37" s="402"/>
      <c r="J37" s="424"/>
    </row>
    <row r="38" spans="1:10" s="160" customFormat="1" ht="16.5" customHeight="1" thickBot="1" x14ac:dyDescent="0.4">
      <c r="A38" s="398"/>
      <c r="B38" s="399"/>
      <c r="C38" s="422"/>
      <c r="D38" s="417"/>
      <c r="E38" s="426" t="s">
        <v>923</v>
      </c>
      <c r="F38" s="411"/>
      <c r="G38" s="402"/>
      <c r="J38" s="429">
        <f>SUM(J2:J37)</f>
        <v>0</v>
      </c>
    </row>
    <row r="39" spans="1:10" s="160" customFormat="1" ht="16.5" customHeight="1" x14ac:dyDescent="0.35">
      <c r="A39" s="398"/>
      <c r="B39" s="399"/>
      <c r="C39" s="422"/>
      <c r="D39" s="417"/>
      <c r="E39" s="425"/>
      <c r="F39" s="411"/>
      <c r="G39" s="402"/>
      <c r="J39" s="424"/>
    </row>
    <row r="40" spans="1:10" s="160" customFormat="1" ht="16.5" customHeight="1" x14ac:dyDescent="0.35">
      <c r="A40" s="398"/>
      <c r="B40" s="399"/>
      <c r="C40" s="422"/>
      <c r="D40" s="417"/>
      <c r="E40" s="425"/>
      <c r="F40" s="411"/>
      <c r="G40" s="402"/>
      <c r="J40" s="424"/>
    </row>
    <row r="41" spans="1:10" s="160" customFormat="1" ht="16.5" customHeight="1" thickBot="1" x14ac:dyDescent="0.4">
      <c r="A41" s="398"/>
      <c r="B41" s="399"/>
      <c r="C41" s="422"/>
      <c r="D41" s="417"/>
      <c r="E41" s="425"/>
      <c r="F41" s="411"/>
      <c r="G41" s="402"/>
      <c r="J41" s="424"/>
    </row>
    <row r="42" spans="1:10" s="160" customFormat="1" ht="16.5" customHeight="1" thickBot="1" x14ac:dyDescent="0.4">
      <c r="A42" s="398"/>
      <c r="B42" s="399"/>
      <c r="C42" s="422"/>
      <c r="D42" s="417"/>
      <c r="E42" s="426" t="s">
        <v>935</v>
      </c>
      <c r="F42" s="411"/>
      <c r="G42" s="402"/>
      <c r="J42" s="429"/>
    </row>
    <row r="43" spans="1:10" x14ac:dyDescent="0.3">
      <c r="A43" s="175"/>
      <c r="C43" s="423"/>
      <c r="D43" s="418"/>
      <c r="E43" s="420"/>
      <c r="H43" s="173"/>
      <c r="I43" s="171"/>
      <c r="J43" s="430"/>
    </row>
    <row r="44" spans="1:10" ht="21" thickBot="1" x14ac:dyDescent="0.35">
      <c r="H44" s="173"/>
      <c r="J44" s="431"/>
    </row>
    <row r="45" spans="1:10" ht="21" thickBot="1" x14ac:dyDescent="0.35">
      <c r="E45" s="434" t="s">
        <v>925</v>
      </c>
      <c r="F45" s="170"/>
      <c r="H45" s="173"/>
      <c r="I45" s="427"/>
      <c r="J45" s="428">
        <f>J38-J42</f>
        <v>0</v>
      </c>
    </row>
    <row r="46" spans="1:10" ht="21" thickTop="1" x14ac:dyDescent="0.3"/>
  </sheetData>
  <phoneticPr fontId="38" type="noConversion"/>
  <pageMargins left="0.70866141732283472" right="0.70866141732283472" top="0.70866141732283472" bottom="0.74803149606299213" header="0.35433070866141736" footer="0.43307086614173229"/>
  <pageSetup paperSize="9" scale="87" orientation="portrait" useFirstPageNumber="1" r:id="rId1"/>
  <headerFooter>
    <oddHeader>&amp;L&amp;UΠΑΣΥΔΥ PLATRES APARTMENTS 
ΚΑΤΕΔΑΦΙΣΕΙΣ - ΜΕΤΑΤΡΟΠΕΣ&amp;R&amp;"-,Bold" ΓΕΝΙΚΗ ΠΕΡΙΛΗΨΗ</oddHeader>
    <oddFooter>&amp;R15/&amp;P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 DELTIO 1 PROKATARTIKA</vt:lpstr>
      <vt:lpstr>DELTIO 2 BLOCK TWO BEDROOM  </vt:lpstr>
      <vt:lpstr>DELTIO 3 BLOCK TWO BEDROOM  </vt:lpstr>
      <vt:lpstr>DELTIO 4 BLOCK TWO BEDROOM  </vt:lpstr>
      <vt:lpstr>DELTIO 5 BLOCK THREE BEDROOM</vt:lpstr>
      <vt:lpstr>DELTIO 6 BLOCK THREE BEDROOM</vt:lpstr>
      <vt:lpstr>DELTIO 7 BLOCK THREE BEDROOM</vt:lpstr>
      <vt:lpstr>DELTIO 8 ΕΡΓΑΣΙΕΣ ΜΕ ΑΠΟΛΟΓΙΣΜΟ</vt:lpstr>
      <vt:lpstr>DELTIO 9 ΓΕΝΙΚΗ ΠΕΡΙΛΗΨΗ</vt:lpstr>
      <vt:lpstr>BoQ - 3 form work</vt:lpstr>
      <vt:lpstr>' DELTIO 1 PROKATARTIKA'!Print_Area</vt:lpstr>
      <vt:lpstr>'BoQ - 3 form work'!Print_Area</vt:lpstr>
      <vt:lpstr>'DELTIO 2 BLOCK TWO BEDROOM  '!Print_Area</vt:lpstr>
      <vt:lpstr>'DELTIO 3 BLOCK TWO BEDROOM  '!Print_Area</vt:lpstr>
      <vt:lpstr>'DELTIO 4 BLOCK TWO BEDROOM  '!Print_Area</vt:lpstr>
      <vt:lpstr>'DELTIO 8 ΕΡΓΑΣΙΕΣ ΜΕ ΑΠΟΛΟΓΙΣΜΟ'!Print_Area</vt:lpstr>
      <vt:lpstr>'DELTIO 9 ΓΕΝΙΚΗ ΠΕΡΙΛΗΨΗ'!Print_Area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Angelos</dc:creator>
  <cp:lastModifiedBy>Andreas Antoniou</cp:lastModifiedBy>
  <cp:lastPrinted>2024-04-23T10:09:45Z</cp:lastPrinted>
  <dcterms:created xsi:type="dcterms:W3CDTF">2017-10-18T08:40:45Z</dcterms:created>
  <dcterms:modified xsi:type="dcterms:W3CDTF">2024-10-07T16:04:36Z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imCT.Renderer.Visible">
    <vt:lpwstr>false</vt:lpwstr>
  </property>
  <property fmtid="{D5CDD505-2E9C-101B-9397-08002B2CF9AE}" pid="3" name="BimCT.ModelTree.Width">
    <vt:lpwstr>500</vt:lpwstr>
  </property>
  <property fmtid="{D5CDD505-2E9C-101B-9397-08002B2CF9AE}" pid="4" name="BimCT.ModelTree.Visible">
    <vt:lpwstr>false</vt:lpwstr>
  </property>
  <property fmtid="{D5CDD505-2E9C-101B-9397-08002B2CF9AE}" pid="5" name="BimCT.Renderer.Width">
    <vt:lpwstr>600</vt:lpwstr>
  </property>
  <property fmtid="{D5CDD505-2E9C-101B-9397-08002B2CF9AE}" pid="6" name="BimCT.ModelTree.DockPosition">
    <vt:lpwstr>0</vt:lpwstr>
  </property>
  <property fmtid="{D5CDD505-2E9C-101B-9397-08002B2CF9AE}" pid="7" name="BimCT.Database.Id">
    <vt:lpwstr>e4e21881-f5a3-4c5a-8aa0-d9cc5d2211b7</vt:lpwstr>
  </property>
  <property fmtid="{D5CDD505-2E9C-101B-9397-08002B2CF9AE}" pid="8" name="BimCT.Renderer.XRay">
    <vt:lpwstr>true</vt:lpwstr>
  </property>
  <property fmtid="{D5CDD505-2E9C-101B-9397-08002B2CF9AE}" pid="9" name="BimCT.ModelTree.Height">
    <vt:lpwstr>1032</vt:lpwstr>
  </property>
  <property fmtid="{D5CDD505-2E9C-101B-9397-08002B2CF9AE}" pid="10" name="BimCT.ShowFPS">
    <vt:lpwstr>false</vt:lpwstr>
  </property>
  <property fmtid="{D5CDD505-2E9C-101B-9397-08002B2CF9AE}" pid="11" name="BimCT.Renderer.ShadingMode">
    <vt:lpwstr>5</vt:lpwstr>
  </property>
  <property fmtid="{D5CDD505-2E9C-101B-9397-08002B2CF9AE}" pid="12" name="BimCT.Renderer.Enhanced.Silhouettes">
    <vt:lpwstr>false</vt:lpwstr>
  </property>
  <property fmtid="{D5CDD505-2E9C-101B-9397-08002B2CF9AE}" pid="13" name="BimCT.Renderer.Height">
    <vt:lpwstr>1032</vt:lpwstr>
  </property>
  <property fmtid="{D5CDD505-2E9C-101B-9397-08002B2CF9AE}" pid="14" name="BimCT.Renderer.DockPosition">
    <vt:lpwstr>2</vt:lpwstr>
  </property>
</Properties>
</file>